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Data" sheetId="1" r:id="rId1"/>
    <sheet name="Inner" sheetId="2" r:id="rId2"/>
    <sheet name="Outer" sheetId="3" r:id="rId3"/>
  </sheets>
  <externalReferences>
    <externalReference r:id="rId4"/>
  </externalReferences>
  <definedNames>
    <definedName name="_xlnm.Print_Area" localSheetId="1">Inner!$A$1:$N$35</definedName>
    <definedName name="_xlnm.Print_Area" localSheetId="2">Outer!$A$1:$P$32</definedName>
  </definedNames>
  <calcPr calcId="124519"/>
</workbook>
</file>

<file path=xl/calcChain.xml><?xml version="1.0" encoding="utf-8"?>
<calcChain xmlns="http://schemas.openxmlformats.org/spreadsheetml/2006/main">
  <c r="M62" i="1"/>
  <c r="N62" s="1"/>
  <c r="M63" l="1"/>
  <c r="W4" i="3"/>
  <c r="X4"/>
  <c r="T8" i="2"/>
  <c r="N63" i="1" l="1"/>
  <c r="M64"/>
  <c r="M65" s="1"/>
  <c r="M66" s="1"/>
  <c r="M67" s="1"/>
  <c r="M68" s="1"/>
  <c r="M69" s="1"/>
  <c r="M70" s="1"/>
  <c r="M71" s="1"/>
  <c r="M72" s="1"/>
  <c r="M73" s="1"/>
  <c r="M74" s="1"/>
  <c r="M75" s="1"/>
  <c r="M76" s="1"/>
  <c r="M77" s="1"/>
  <c r="M78" s="1"/>
  <c r="M79" s="1"/>
  <c r="M80" s="1"/>
  <c r="M81" s="1"/>
  <c r="M82" s="1"/>
  <c r="M83" s="1"/>
  <c r="M84" s="1"/>
  <c r="M85" s="1"/>
  <c r="M86" s="1"/>
  <c r="M87" s="1"/>
  <c r="M88" s="1"/>
  <c r="M89" s="1"/>
  <c r="M90" s="1"/>
  <c r="M91" s="1"/>
  <c r="M92" s="1"/>
  <c r="M93" s="1"/>
  <c r="M94" s="1"/>
  <c r="M95" s="1"/>
  <c r="M96" s="1"/>
  <c r="M97" s="1"/>
  <c r="M98" s="1"/>
  <c r="M99" s="1"/>
  <c r="M100" s="1"/>
  <c r="M101" s="1"/>
  <c r="M102" s="1"/>
  <c r="M103" s="1"/>
  <c r="M104" s="1"/>
  <c r="M105" s="1"/>
  <c r="M106" s="1"/>
  <c r="M107" s="1"/>
  <c r="M108" s="1"/>
  <c r="M109" s="1"/>
  <c r="M110" s="1"/>
  <c r="M111" s="1"/>
  <c r="M112" s="1"/>
  <c r="M113" s="1"/>
  <c r="M114" s="1"/>
  <c r="M115" s="1"/>
  <c r="M116" s="1"/>
  <c r="M117" s="1"/>
  <c r="M118" s="1"/>
  <c r="M119" s="1"/>
  <c r="M120" s="1"/>
  <c r="M121" s="1"/>
  <c r="M122" s="1"/>
  <c r="M123" s="1"/>
  <c r="M124" s="1"/>
  <c r="M125" s="1"/>
  <c r="M126" s="1"/>
  <c r="M127" s="1"/>
  <c r="M128" s="1"/>
  <c r="M129" s="1"/>
  <c r="M130" s="1"/>
  <c r="A6" i="3"/>
  <c r="F5"/>
  <c r="A5"/>
  <c r="I4"/>
  <c r="F4"/>
  <c r="C4"/>
  <c r="A4"/>
  <c r="M3"/>
  <c r="A3"/>
  <c r="M2"/>
  <c r="C22"/>
  <c r="B22"/>
  <c r="A22"/>
  <c r="C21"/>
  <c r="B21"/>
  <c r="A21"/>
  <c r="C20"/>
  <c r="B20"/>
  <c r="A20"/>
  <c r="C19"/>
  <c r="B19"/>
  <c r="A19"/>
  <c r="C18"/>
  <c r="B18"/>
  <c r="A18"/>
  <c r="C17"/>
  <c r="B17"/>
  <c r="A17"/>
  <c r="C16"/>
  <c r="B16"/>
  <c r="A16"/>
  <c r="C29" i="2"/>
  <c r="C24"/>
  <c r="C19"/>
  <c r="C14"/>
  <c r="C9"/>
  <c r="K35"/>
  <c r="N64" i="1" l="1"/>
  <c r="N65" s="1"/>
  <c r="N66" s="1"/>
  <c r="N67" s="1"/>
  <c r="N68" s="1"/>
  <c r="N69" s="1"/>
  <c r="N70" s="1"/>
  <c r="N71" s="1"/>
  <c r="N72" s="1"/>
  <c r="N73" s="1"/>
  <c r="N74" s="1"/>
  <c r="N75" s="1"/>
  <c r="N76" s="1"/>
  <c r="N77" s="1"/>
  <c r="N78" s="1"/>
  <c r="N79" s="1"/>
  <c r="N80" s="1"/>
  <c r="N81" s="1"/>
  <c r="N82" s="1"/>
  <c r="N83" s="1"/>
  <c r="N84" s="1"/>
  <c r="N85" s="1"/>
  <c r="N86" s="1"/>
  <c r="N87" s="1"/>
  <c r="N88" s="1"/>
  <c r="N89" s="1"/>
  <c r="N90" s="1"/>
  <c r="N91" s="1"/>
  <c r="N92" s="1"/>
  <c r="N93" s="1"/>
  <c r="N94" s="1"/>
  <c r="N95" s="1"/>
  <c r="N96" s="1"/>
  <c r="N97" s="1"/>
  <c r="N98" s="1"/>
  <c r="N99" s="1"/>
  <c r="N100" s="1"/>
  <c r="N101" s="1"/>
  <c r="N102" s="1"/>
  <c r="N103" s="1"/>
  <c r="N104" s="1"/>
  <c r="N105" s="1"/>
  <c r="N106" s="1"/>
  <c r="N107" s="1"/>
  <c r="N108" s="1"/>
  <c r="N109" s="1"/>
  <c r="N110" s="1"/>
  <c r="N111" s="1"/>
  <c r="N112" s="1"/>
  <c r="N113" s="1"/>
  <c r="N114" s="1"/>
  <c r="N115" s="1"/>
  <c r="N116" s="1"/>
  <c r="N117" s="1"/>
  <c r="N118" s="1"/>
  <c r="N119" s="1"/>
  <c r="N120" s="1"/>
  <c r="N121" s="1"/>
  <c r="N122" s="1"/>
  <c r="N123" s="1"/>
  <c r="N124" s="1"/>
  <c r="N125" s="1"/>
  <c r="N126" s="1"/>
  <c r="N127" s="1"/>
  <c r="N128" s="1"/>
  <c r="N129" s="1"/>
  <c r="N130" s="1"/>
  <c r="R69"/>
  <c r="R70"/>
  <c r="R68"/>
  <c r="G27" i="3"/>
  <c r="L21" s="1"/>
  <c r="R83" i="1" l="1"/>
  <c r="R73"/>
  <c r="R76"/>
  <c r="R75"/>
  <c r="R72"/>
  <c r="R78"/>
  <c r="R71"/>
  <c r="R77"/>
  <c r="R96"/>
  <c r="R99"/>
  <c r="R94"/>
  <c r="R97"/>
  <c r="R92"/>
  <c r="R95"/>
  <c r="R90"/>
  <c r="R88"/>
  <c r="R112"/>
  <c r="R91"/>
  <c r="R115"/>
  <c r="R86"/>
  <c r="R110"/>
  <c r="R81"/>
  <c r="R113"/>
  <c r="R108"/>
  <c r="R79"/>
  <c r="R74"/>
  <c r="R93"/>
  <c r="R126"/>
  <c r="R125"/>
  <c r="R124"/>
  <c r="R111"/>
  <c r="R127"/>
  <c r="R106"/>
  <c r="R122"/>
  <c r="R109"/>
  <c r="R104"/>
  <c r="R120"/>
  <c r="R107"/>
  <c r="R123"/>
  <c r="R102"/>
  <c r="R118"/>
  <c r="R89"/>
  <c r="R105"/>
  <c r="R121"/>
  <c r="R84"/>
  <c r="R100"/>
  <c r="R116"/>
  <c r="R87"/>
  <c r="R103"/>
  <c r="R119"/>
  <c r="R80"/>
  <c r="R82"/>
  <c r="R98"/>
  <c r="R114"/>
  <c r="R85"/>
  <c r="R101"/>
  <c r="R117"/>
  <c r="H33" i="2"/>
  <c r="J33"/>
  <c r="K33"/>
  <c r="L33"/>
  <c r="M33"/>
  <c r="U16" i="1"/>
  <c r="B18" i="2"/>
  <c r="A18" s="1"/>
  <c r="C31"/>
  <c r="C30"/>
  <c r="C28"/>
  <c r="E28" s="1"/>
  <c r="B32"/>
  <c r="B28"/>
  <c r="A28" s="1"/>
  <c r="B27"/>
  <c r="C26"/>
  <c r="C25"/>
  <c r="C23"/>
  <c r="E23" s="1"/>
  <c r="B23"/>
  <c r="A23" s="1"/>
  <c r="B22"/>
  <c r="C21"/>
  <c r="C20"/>
  <c r="C18"/>
  <c r="E18" s="1"/>
  <c r="B12"/>
  <c r="B17"/>
  <c r="C16"/>
  <c r="C15"/>
  <c r="C13"/>
  <c r="E13" s="1"/>
  <c r="M28"/>
  <c r="M23"/>
  <c r="M18"/>
  <c r="M13"/>
  <c r="C8"/>
  <c r="E7" s="1"/>
  <c r="M8"/>
  <c r="B13"/>
  <c r="A13" s="1"/>
  <c r="B8"/>
  <c r="D8"/>
  <c r="C10"/>
  <c r="C11"/>
  <c r="N2"/>
  <c r="J2"/>
  <c r="F2"/>
  <c r="A2"/>
  <c r="L7"/>
  <c r="J7"/>
  <c r="AF15" i="1"/>
  <c r="AE15" s="1"/>
  <c r="B15" i="2" s="1"/>
  <c r="AF16" i="1"/>
  <c r="AE16" s="1"/>
  <c r="B20" i="2" s="1"/>
  <c r="AF17" i="1"/>
  <c r="AE17" s="1"/>
  <c r="B25" i="2" s="1"/>
  <c r="AF18" i="1"/>
  <c r="AE18" s="1"/>
  <c r="B30" i="2" s="1"/>
  <c r="AF14" i="1"/>
  <c r="AE14" s="1"/>
  <c r="B10" i="2" s="1"/>
  <c r="E29" l="1"/>
  <c r="E24"/>
  <c r="E19"/>
  <c r="E14"/>
  <c r="E9"/>
  <c r="E8"/>
  <c r="V15" i="1"/>
  <c r="V16"/>
  <c r="V17"/>
  <c r="V18"/>
  <c r="V14"/>
  <c r="U14"/>
  <c r="U17"/>
  <c r="U18"/>
  <c r="U15"/>
  <c r="AA15"/>
  <c r="F13" i="2" s="1"/>
  <c r="AA16" i="1"/>
  <c r="F18" i="2" s="1"/>
  <c r="AA17" i="1"/>
  <c r="F23" i="2" s="1"/>
  <c r="AA18" i="1"/>
  <c r="F28" i="2" s="1"/>
  <c r="AA14" i="1"/>
  <c r="F8" i="2" s="1"/>
  <c r="W14" i="1" l="1"/>
  <c r="X14" s="1"/>
  <c r="Y14" s="1"/>
  <c r="E10" i="2" s="1"/>
  <c r="F33"/>
  <c r="W7" s="1"/>
  <c r="AA20" i="1"/>
  <c r="W18"/>
  <c r="X18" s="1"/>
  <c r="Y18" s="1"/>
  <c r="E30" i="2" s="1"/>
  <c r="W17" i="1"/>
  <c r="X17" s="1"/>
  <c r="Y17" s="1"/>
  <c r="E25" i="2" s="1"/>
  <c r="W16" i="1"/>
  <c r="X16" s="1"/>
  <c r="Y16" s="1"/>
  <c r="E20" i="2" s="1"/>
  <c r="W15" i="1"/>
  <c r="X15" s="1"/>
  <c r="Y15" s="1"/>
  <c r="E15" i="2" s="1"/>
  <c r="AA3" i="3" l="1"/>
  <c r="T7" i="2"/>
  <c r="AB16" i="1"/>
  <c r="G18" i="2" s="1"/>
  <c r="AB18" i="1"/>
  <c r="G28" i="2" s="1"/>
  <c r="I28" s="1"/>
  <c r="N28" s="1"/>
  <c r="AB17" i="1"/>
  <c r="G23" i="2" s="1"/>
  <c r="I23" s="1"/>
  <c r="N23" s="1"/>
  <c r="AB15" i="1"/>
  <c r="G13" i="2" s="1"/>
  <c r="I13" s="1"/>
  <c r="N13" s="1"/>
  <c r="AB14" i="1"/>
  <c r="G8" i="2" s="1"/>
  <c r="I8" s="1"/>
  <c r="N8" s="1"/>
  <c r="I18" l="1"/>
  <c r="G33"/>
  <c r="W9" s="1"/>
  <c r="X3" i="3"/>
  <c r="W3"/>
  <c r="AB20" i="1"/>
  <c r="N18" i="2" l="1"/>
  <c r="N33" s="1"/>
  <c r="N34" s="1"/>
  <c r="I33"/>
  <c r="AA5" i="3"/>
  <c r="T9" i="2"/>
  <c r="X5" i="3" l="1"/>
  <c r="W5" s="1"/>
  <c r="C13" l="1"/>
  <c r="A13"/>
  <c r="B13"/>
  <c r="B14"/>
  <c r="A15"/>
  <c r="A14"/>
  <c r="C14"/>
  <c r="C15"/>
  <c r="B15"/>
  <c r="C27" l="1"/>
  <c r="L16" s="1"/>
  <c r="K17" s="1"/>
  <c r="M19" s="1"/>
  <c r="E30" s="1"/>
  <c r="G28" l="1"/>
  <c r="L20" s="1"/>
  <c r="L22" s="1"/>
</calcChain>
</file>

<file path=xl/sharedStrings.xml><?xml version="1.0" encoding="utf-8"?>
<sst xmlns="http://schemas.openxmlformats.org/spreadsheetml/2006/main" count="131" uniqueCount="110">
  <si>
    <t>DDO</t>
  </si>
  <si>
    <t>PERIOD</t>
  </si>
  <si>
    <t>Apr-12</t>
  </si>
  <si>
    <t>BUDGET HEAD</t>
  </si>
  <si>
    <t>PLAN/NP</t>
  </si>
  <si>
    <t>Voted /Charged</t>
  </si>
  <si>
    <t>Voted</t>
  </si>
  <si>
    <t>TAN NO</t>
  </si>
  <si>
    <t>JDHG03942B</t>
  </si>
  <si>
    <t>DDONO</t>
  </si>
  <si>
    <t>OID</t>
  </si>
  <si>
    <t>B.No</t>
  </si>
  <si>
    <t>3</t>
  </si>
  <si>
    <t>Date</t>
  </si>
  <si>
    <t>9/04/2012</t>
  </si>
  <si>
    <t>DEMAND No</t>
  </si>
  <si>
    <t>GPF No</t>
  </si>
  <si>
    <t>S.No.</t>
  </si>
  <si>
    <t>Name of Employee</t>
  </si>
  <si>
    <t>Designation</t>
  </si>
  <si>
    <t>Emp ID No</t>
  </si>
  <si>
    <t>15</t>
  </si>
  <si>
    <t>Bank A/C No</t>
  </si>
  <si>
    <t>Retirement Date</t>
  </si>
  <si>
    <t>Days Sanctioned</t>
  </si>
  <si>
    <t>GradePay</t>
  </si>
  <si>
    <t>Basic Pay 
( Pay + Grade Pay)</t>
  </si>
  <si>
    <t>PATEL SSS BEAWAR</t>
  </si>
  <si>
    <t>On Retirement PL Bill</t>
  </si>
  <si>
    <t>UP To 5 Emplyees</t>
  </si>
  <si>
    <t>Treasury/Sub Treasury</t>
  </si>
  <si>
    <t>Inner Bill Salary</t>
  </si>
  <si>
    <t>SR</t>
  </si>
  <si>
    <t>Gpf No</t>
  </si>
  <si>
    <t>Name</t>
  </si>
  <si>
    <t xml:space="preserve"> ----( Pay &amp; Allowance ) ----</t>
  </si>
  <si>
    <t xml:space="preserve"> -----( Pay Deducation ) -----</t>
  </si>
  <si>
    <t>No</t>
  </si>
  <si>
    <t>Belt No</t>
  </si>
  <si>
    <t>Gross</t>
  </si>
  <si>
    <t>Total</t>
  </si>
  <si>
    <t>PayScale</t>
  </si>
  <si>
    <t>Employee ID</t>
  </si>
  <si>
    <t>Amount</t>
  </si>
  <si>
    <t>Deducation</t>
  </si>
  <si>
    <t>Net Total</t>
  </si>
  <si>
    <t>DP</t>
  </si>
  <si>
    <t>Bank Account No</t>
  </si>
  <si>
    <t>BASIC</t>
  </si>
  <si>
    <t>DA</t>
  </si>
  <si>
    <t>RAMESH DHABHAI,O.A. Govt Patel HSS Beawar(AJMER)</t>
  </si>
  <si>
    <t>gurjar511@gmail.com         9414273967</t>
  </si>
  <si>
    <t>G Total</t>
  </si>
  <si>
    <t>Dhabhai/Beawar</t>
  </si>
  <si>
    <t>Appendix-II(Outer Sheet)
Government of Rajasthan</t>
  </si>
  <si>
    <t>Signature of clerk</t>
  </si>
  <si>
    <t>Signature of Jr. ACCT</t>
  </si>
  <si>
    <t>Signature of  DDO</t>
  </si>
  <si>
    <t xml:space="preserve">                        Certified that I have Personally Examined and satisfied myself about the genuineness of claim that the pay and allowance of the employee included in this pay bill are strictly in accordance with rules and that the said employee are entitled to such pay and allowance. It is further certified that I have Personally ensured observance of all formalities regarding necessary entries
                                                                                                                                                                                                                                        Signature of DDO with Seal</t>
  </si>
  <si>
    <t>Allowances</t>
  </si>
  <si>
    <t>Deduction Name</t>
  </si>
  <si>
    <t>Treasury Voucher</t>
  </si>
  <si>
    <t>AllowancesName</t>
  </si>
  <si>
    <t>Pay Id</t>
  </si>
  <si>
    <t>No.</t>
  </si>
  <si>
    <t>For Treasury Use</t>
  </si>
  <si>
    <t xml:space="preserve">Pay Rs. </t>
  </si>
  <si>
    <t>:</t>
  </si>
  <si>
    <t>(In Words)</t>
  </si>
  <si>
    <t>………………………………..</t>
  </si>
  <si>
    <t>In Cash</t>
  </si>
  <si>
    <t>B.T.</t>
  </si>
  <si>
    <t>Total Cr. Rs.</t>
  </si>
  <si>
    <t>JR. Acct.</t>
  </si>
  <si>
    <t>Acct.</t>
  </si>
  <si>
    <t>Treasury Officer</t>
  </si>
  <si>
    <t>For Accountant General Office</t>
  </si>
  <si>
    <t xml:space="preserve">Gross Amount </t>
  </si>
  <si>
    <t>Total Deducation</t>
  </si>
  <si>
    <t xml:space="preserve">Net Amount </t>
  </si>
  <si>
    <t>Admitted (Rs.)</t>
  </si>
  <si>
    <t>Objected (Rs.)</t>
  </si>
  <si>
    <t>Auditor</t>
  </si>
  <si>
    <t>Supdt.</t>
  </si>
  <si>
    <t>Gaz. Officer</t>
  </si>
  <si>
    <t>PL ENCASHMENT BILL</t>
  </si>
  <si>
    <t>BASICPAY</t>
  </si>
  <si>
    <t>P L ENCASHMENT BILL</t>
  </si>
  <si>
    <t>Object Head  :  84</t>
  </si>
  <si>
    <t>DA UPDATION</t>
  </si>
  <si>
    <t>Revised From</t>
  </si>
  <si>
    <t>Rate</t>
  </si>
  <si>
    <t>Do Not Use  "%"</t>
  </si>
  <si>
    <t>Pay as per RPS 2008  From  01/01/2007</t>
  </si>
  <si>
    <t>Do Not Leve Blank C&amp;D21</t>
  </si>
  <si>
    <t>Cells</t>
  </si>
  <si>
    <t xml:space="preserve">Fill or Correct  Effetive </t>
  </si>
  <si>
    <t>Date &amp; Rate as Required</t>
  </si>
  <si>
    <t>When DA Revised Please</t>
  </si>
  <si>
    <t>16094</t>
  </si>
  <si>
    <t>Non Plan</t>
  </si>
  <si>
    <t>Updated On</t>
  </si>
  <si>
    <t>asd</t>
  </si>
  <si>
    <t>fg</t>
  </si>
  <si>
    <t>RJAJ198006001250</t>
  </si>
  <si>
    <t>RJAJ197901003555</t>
  </si>
  <si>
    <t>11053612545</t>
  </si>
  <si>
    <t>11053525255</t>
  </si>
  <si>
    <t>SUB TREASURY ,MASUDA</t>
  </si>
  <si>
    <t>2071-01-115-00</t>
  </si>
</sst>
</file>

<file path=xl/styles.xml><?xml version="1.0" encoding="utf-8"?>
<styleSheet xmlns="http://schemas.openxmlformats.org/spreadsheetml/2006/main">
  <numFmts count="2">
    <numFmt numFmtId="164" formatCode="[$-409]mmm\-yy;@"/>
    <numFmt numFmtId="165" formatCode="[$-F800]dddd\,\ mmmm\ dd\,\ yyyy"/>
  </numFmts>
  <fonts count="27">
    <font>
      <sz val="11"/>
      <color theme="1"/>
      <name val="Calibri"/>
      <family val="2"/>
      <scheme val="minor"/>
    </font>
    <font>
      <sz val="10"/>
      <color indexed="12"/>
      <name val="Arial"/>
      <family val="2"/>
    </font>
    <font>
      <sz val="10"/>
      <color theme="0"/>
      <name val="Arial"/>
      <family val="2"/>
    </font>
    <font>
      <sz val="11"/>
      <color rgb="FFFFFF00"/>
      <name val="Calibri"/>
      <family val="2"/>
      <scheme val="minor"/>
    </font>
    <font>
      <sz val="28"/>
      <color theme="0"/>
      <name val="Arial"/>
      <family val="2"/>
    </font>
    <font>
      <sz val="28"/>
      <color rgb="FF00B0F0"/>
      <name val="Arial"/>
      <family val="2"/>
    </font>
    <font>
      <b/>
      <sz val="14"/>
      <color theme="7" tint="0.79998168889431442"/>
      <name val="Calibri"/>
      <family val="2"/>
      <scheme val="minor"/>
    </font>
    <font>
      <b/>
      <sz val="11"/>
      <name val="Arial"/>
      <family val="2"/>
    </font>
    <font>
      <sz val="9"/>
      <name val="Arial"/>
      <family val="2"/>
    </font>
    <font>
      <sz val="10"/>
      <name val="Arial"/>
      <family val="2"/>
    </font>
    <font>
      <sz val="14"/>
      <color theme="0"/>
      <name val="Calibri"/>
      <family val="2"/>
      <scheme val="minor"/>
    </font>
    <font>
      <sz val="12"/>
      <color theme="0"/>
      <name val="Calibri"/>
      <family val="2"/>
      <scheme val="minor"/>
    </font>
    <font>
      <sz val="9"/>
      <color theme="1"/>
      <name val="Calibri"/>
      <family val="2"/>
      <scheme val="minor"/>
    </font>
    <font>
      <sz val="10"/>
      <color theme="1"/>
      <name val="Calibri"/>
      <family val="2"/>
      <scheme val="minor"/>
    </font>
    <font>
      <b/>
      <sz val="10"/>
      <name val="Arial"/>
      <family val="2"/>
    </font>
    <font>
      <sz val="8"/>
      <name val="Arial"/>
      <family val="2"/>
    </font>
    <font>
      <b/>
      <sz val="9"/>
      <name val="Times New Roman"/>
      <family val="1"/>
    </font>
    <font>
      <b/>
      <sz val="9"/>
      <name val="Arial"/>
      <family val="2"/>
    </font>
    <font>
      <sz val="9"/>
      <name val="Times New Roman"/>
      <family val="1"/>
    </font>
    <font>
      <sz val="11"/>
      <color theme="0"/>
      <name val="Calibri"/>
      <family val="2"/>
      <scheme val="minor"/>
    </font>
    <font>
      <sz val="11"/>
      <name val="Calibri"/>
      <family val="2"/>
      <scheme val="minor"/>
    </font>
    <font>
      <sz val="8"/>
      <color theme="1"/>
      <name val="Calibri"/>
      <family val="2"/>
      <scheme val="minor"/>
    </font>
    <font>
      <b/>
      <i/>
      <sz val="9"/>
      <color theme="1"/>
      <name val="Calibri"/>
      <family val="2"/>
      <scheme val="minor"/>
    </font>
    <font>
      <sz val="11"/>
      <color rgb="FFFF0000"/>
      <name val="Calibri"/>
      <family val="2"/>
      <scheme val="minor"/>
    </font>
    <font>
      <sz val="14"/>
      <name val="Kruti Dev 010"/>
    </font>
    <font>
      <sz val="14"/>
      <name val="Calibri"/>
      <family val="2"/>
      <scheme val="minor"/>
    </font>
    <font>
      <b/>
      <sz val="16"/>
      <color rgb="FF0000FF"/>
      <name val="Calibri"/>
      <family val="2"/>
      <scheme val="minor"/>
    </font>
  </fonts>
  <fills count="12">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rgb="FF2A42F2"/>
        <bgColor indexed="64"/>
      </patternFill>
    </fill>
    <fill>
      <patternFill patternType="solid">
        <fgColor rgb="FF002060"/>
        <bgColor indexed="64"/>
      </patternFill>
    </fill>
    <fill>
      <patternFill patternType="solid">
        <fgColor rgb="FF0558FF"/>
        <bgColor indexed="64"/>
      </patternFill>
    </fill>
    <fill>
      <patternFill patternType="solid">
        <fgColor theme="3" tint="0.39997558519241921"/>
        <bgColor indexed="64"/>
      </patternFill>
    </fill>
    <fill>
      <patternFill patternType="solid">
        <fgColor rgb="FF0000FF"/>
        <bgColor indexed="64"/>
      </patternFill>
    </fill>
    <fill>
      <patternFill patternType="solid">
        <fgColor rgb="FF800080"/>
        <bgColor indexed="64"/>
      </patternFill>
    </fill>
    <fill>
      <patternFill patternType="solid">
        <fgColor rgb="FFFF66FF"/>
        <bgColor indexed="64"/>
      </patternFill>
    </fill>
    <fill>
      <patternFill patternType="solid">
        <fgColor theme="8" tint="0.79998168889431442"/>
        <bgColor indexed="64"/>
      </patternFill>
    </fill>
  </fills>
  <borders count="41">
    <border>
      <left/>
      <right/>
      <top/>
      <bottom/>
      <diagonal/>
    </border>
    <border>
      <left style="thin">
        <color indexed="33"/>
      </left>
      <right/>
      <top style="thin">
        <color indexed="33"/>
      </top>
      <bottom style="thin">
        <color indexed="33"/>
      </bottom>
      <diagonal/>
    </border>
    <border>
      <left/>
      <right style="thin">
        <color indexed="36"/>
      </right>
      <top style="thin">
        <color indexed="36"/>
      </top>
      <bottom style="thin">
        <color indexed="36"/>
      </bottom>
      <diagonal/>
    </border>
    <border>
      <left style="thin">
        <color indexed="36"/>
      </left>
      <right style="thin">
        <color indexed="36"/>
      </right>
      <top style="thin">
        <color indexed="36"/>
      </top>
      <bottom style="thin">
        <color indexed="36"/>
      </bottom>
      <diagonal/>
    </border>
    <border>
      <left style="thin">
        <color indexed="14"/>
      </left>
      <right/>
      <top style="thin">
        <color indexed="36"/>
      </top>
      <bottom style="thin">
        <color indexed="36"/>
      </bottom>
      <diagonal/>
    </border>
    <border>
      <left style="thin">
        <color indexed="14"/>
      </left>
      <right/>
      <top style="thin">
        <color indexed="36"/>
      </top>
      <bottom style="thin">
        <color indexed="33"/>
      </bottom>
      <diagonal/>
    </border>
    <border>
      <left/>
      <right/>
      <top style="thin">
        <color indexed="36"/>
      </top>
      <bottom style="thin">
        <color indexed="33"/>
      </bottom>
      <diagonal/>
    </border>
    <border>
      <left style="thin">
        <color indexed="14"/>
      </left>
      <right/>
      <top style="thin">
        <color indexed="33"/>
      </top>
      <bottom style="thin">
        <color indexed="36"/>
      </bottom>
      <diagonal/>
    </border>
    <border>
      <left/>
      <right/>
      <top style="thin">
        <color indexed="33"/>
      </top>
      <bottom style="thin">
        <color indexed="36"/>
      </bottom>
      <diagonal/>
    </border>
    <border>
      <left style="thin">
        <color rgb="FFFF00FF"/>
      </left>
      <right style="thin">
        <color rgb="FFFF00FF"/>
      </right>
      <top style="thin">
        <color rgb="FFFF00FF"/>
      </top>
      <bottom style="thin">
        <color rgb="FFFF00FF"/>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Dot">
        <color theme="7" tint="-0.24994659260841701"/>
      </left>
      <right/>
      <top style="dashDot">
        <color theme="7" tint="-0.24994659260841701"/>
      </top>
      <bottom style="dashDot">
        <color theme="7" tint="-0.24994659260841701"/>
      </bottom>
      <diagonal/>
    </border>
    <border>
      <left style="dotted">
        <color theme="7" tint="-0.24994659260841701"/>
      </left>
      <right style="dotted">
        <color theme="7" tint="-0.24994659260841701"/>
      </right>
      <top style="dotted">
        <color theme="7" tint="-0.24994659260841701"/>
      </top>
      <bottom style="dotted">
        <color theme="7" tint="-0.24994659260841701"/>
      </bottom>
      <diagonal/>
    </border>
    <border>
      <left/>
      <right style="dashDot">
        <color theme="7" tint="-0.24994659260841701"/>
      </right>
      <top style="thin">
        <color indexed="64"/>
      </top>
      <bottom/>
      <diagonal/>
    </border>
    <border>
      <left/>
      <right/>
      <top style="thin">
        <color indexed="64"/>
      </top>
      <bottom style="thin">
        <color indexed="64"/>
      </bottom>
      <diagonal/>
    </border>
    <border>
      <left/>
      <right/>
      <top style="dashDot">
        <color theme="7" tint="-0.24994659260841701"/>
      </top>
      <bottom/>
      <diagonal/>
    </border>
    <border>
      <left/>
      <right style="dashDot">
        <color theme="7" tint="-0.24994659260841701"/>
      </right>
      <top style="dashDot">
        <color theme="7" tint="-0.2499465926084170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theme="7" tint="-0.24994659260841701"/>
      </right>
      <top/>
      <bottom/>
      <diagonal/>
    </border>
    <border>
      <left/>
      <right style="dotted">
        <color theme="7" tint="-0.24994659260841701"/>
      </right>
      <top/>
      <bottom style="dotted">
        <color theme="7" tint="-0.24994659260841701"/>
      </bottom>
      <diagonal/>
    </border>
    <border>
      <left/>
      <right/>
      <top/>
      <bottom style="dashDot">
        <color theme="7" tint="-0.24994659260841701"/>
      </bottom>
      <diagonal/>
    </border>
    <border>
      <left/>
      <right/>
      <top/>
      <bottom style="dotted">
        <color theme="7" tint="-0.24994659260841701"/>
      </bottom>
      <diagonal/>
    </border>
    <border>
      <left/>
      <right/>
      <top style="dotted">
        <color theme="7" tint="-0.24994659260841701"/>
      </top>
      <bottom/>
      <diagonal/>
    </border>
    <border>
      <left/>
      <right/>
      <top style="dashDot">
        <color theme="7" tint="-0.24994659260841701"/>
      </top>
      <bottom style="thin">
        <color indexed="64"/>
      </bottom>
      <diagonal/>
    </border>
    <border>
      <left/>
      <right style="dashDot">
        <color theme="7" tint="-0.24994659260841701"/>
      </right>
      <top style="dashDot">
        <color theme="7" tint="-0.24994659260841701"/>
      </top>
      <bottom style="thin">
        <color indexed="64"/>
      </bottom>
      <diagonal/>
    </border>
    <border>
      <left style="thin">
        <color rgb="FF00FFFF"/>
      </left>
      <right/>
      <top style="thin">
        <color rgb="FF00FFFF"/>
      </top>
      <bottom style="thin">
        <color rgb="FF00FFFF"/>
      </bottom>
      <diagonal/>
    </border>
    <border>
      <left/>
      <right style="thick">
        <color rgb="FF00FFFF"/>
      </right>
      <top style="thin">
        <color rgb="FFFF0000"/>
      </top>
      <bottom style="thick">
        <color rgb="FF00FFFF"/>
      </bottom>
      <diagonal/>
    </border>
    <border>
      <left style="thick">
        <color rgb="FF00FFFF"/>
      </left>
      <right/>
      <top style="thick">
        <color rgb="FF00FFFF"/>
      </top>
      <bottom style="thin">
        <color rgb="FFFF0000"/>
      </bottom>
      <diagonal/>
    </border>
    <border>
      <left/>
      <right style="thick">
        <color rgb="FF00FFFF"/>
      </right>
      <top style="thick">
        <color rgb="FF00FFFF"/>
      </top>
      <bottom style="thin">
        <color rgb="FFFF0000"/>
      </bottom>
      <diagonal/>
    </border>
    <border>
      <left/>
      <right style="thick">
        <color rgb="FF00FFFF"/>
      </right>
      <top style="thin">
        <color rgb="FFFF0000"/>
      </top>
      <bottom style="thin">
        <color rgb="FFFF0000"/>
      </bottom>
      <diagonal/>
    </border>
  </borders>
  <cellStyleXfs count="1">
    <xf numFmtId="0" fontId="0" fillId="0" borderId="0"/>
  </cellStyleXfs>
  <cellXfs count="193">
    <xf numFmtId="0" fontId="0" fillId="0" borderId="0" xfId="0"/>
    <xf numFmtId="0" fontId="1" fillId="2" borderId="1" xfId="0" applyFont="1" applyFill="1" applyBorder="1"/>
    <xf numFmtId="0" fontId="2" fillId="4" borderId="1" xfId="0" applyFont="1" applyFill="1" applyBorder="1"/>
    <xf numFmtId="0" fontId="0" fillId="7" borderId="0" xfId="0" applyFill="1"/>
    <xf numFmtId="0" fontId="2" fillId="4" borderId="0" xfId="0" applyFont="1" applyFill="1" applyBorder="1" applyAlignment="1">
      <alignment vertical="center"/>
    </xf>
    <xf numFmtId="0" fontId="2" fillId="4" borderId="0" xfId="0" applyFont="1" applyFill="1" applyBorder="1" applyAlignment="1">
      <alignment horizontal="center" vertical="center" wrapText="1"/>
    </xf>
    <xf numFmtId="0" fontId="0" fillId="0" borderId="9" xfId="0" applyBorder="1" applyAlignment="1">
      <alignment vertical="center"/>
    </xf>
    <xf numFmtId="14" fontId="0" fillId="0" borderId="9" xfId="0" applyNumberFormat="1" applyBorder="1" applyAlignment="1">
      <alignment vertical="center"/>
    </xf>
    <xf numFmtId="49" fontId="0" fillId="0" borderId="9" xfId="0" applyNumberFormat="1" applyBorder="1" applyAlignment="1">
      <alignment horizontal="right" vertical="center"/>
    </xf>
    <xf numFmtId="0" fontId="8" fillId="0" borderId="0" xfId="0" applyFont="1"/>
    <xf numFmtId="0" fontId="9" fillId="0" borderId="21" xfId="0" applyFont="1" applyBorder="1"/>
    <xf numFmtId="0" fontId="8" fillId="0" borderId="22" xfId="0" applyFont="1" applyBorder="1" applyAlignment="1">
      <alignment horizontal="center" vertical="center"/>
    </xf>
    <xf numFmtId="0" fontId="8" fillId="0" borderId="22" xfId="0" applyFont="1" applyBorder="1" applyAlignment="1">
      <alignment horizontal="center"/>
    </xf>
    <xf numFmtId="1" fontId="9" fillId="0" borderId="0" xfId="0" applyNumberFormat="1" applyFont="1" applyBorder="1"/>
    <xf numFmtId="0" fontId="9" fillId="0" borderId="0" xfId="0" applyFont="1" applyBorder="1"/>
    <xf numFmtId="0" fontId="0" fillId="0" borderId="0" xfId="0" applyBorder="1" applyAlignment="1">
      <alignment horizontal="left"/>
    </xf>
    <xf numFmtId="0" fontId="9" fillId="0" borderId="0" xfId="0" applyFont="1" applyBorder="1" applyAlignment="1">
      <alignment horizontal="left"/>
    </xf>
    <xf numFmtId="0" fontId="8" fillId="0" borderId="0" xfId="0" applyFont="1" applyBorder="1"/>
    <xf numFmtId="2" fontId="9" fillId="0" borderId="0" xfId="0" applyNumberFormat="1" applyFont="1" applyBorder="1"/>
    <xf numFmtId="0" fontId="9" fillId="0" borderId="0" xfId="0" applyNumberFormat="1" applyFont="1" applyBorder="1" applyAlignment="1">
      <alignment horizontal="left"/>
    </xf>
    <xf numFmtId="49" fontId="8" fillId="0" borderId="0" xfId="0" applyNumberFormat="1" applyFont="1"/>
    <xf numFmtId="0" fontId="8" fillId="0" borderId="10" xfId="0" applyFont="1" applyBorder="1"/>
    <xf numFmtId="0" fontId="8" fillId="0" borderId="11" xfId="0" applyFont="1" applyBorder="1"/>
    <xf numFmtId="0" fontId="8" fillId="0" borderId="14" xfId="0" applyFont="1" applyBorder="1"/>
    <xf numFmtId="0" fontId="8" fillId="0" borderId="15" xfId="0" applyFont="1" applyBorder="1"/>
    <xf numFmtId="0" fontId="8" fillId="0" borderId="17" xfId="0" applyFont="1" applyBorder="1"/>
    <xf numFmtId="0" fontId="8" fillId="0" borderId="18" xfId="0" applyFont="1" applyBorder="1"/>
    <xf numFmtId="0" fontId="12" fillId="0" borderId="0" xfId="0" applyFont="1"/>
    <xf numFmtId="0" fontId="8" fillId="0" borderId="22" xfId="0" applyFont="1" applyBorder="1"/>
    <xf numFmtId="0" fontId="12" fillId="0" borderId="0" xfId="0" applyFont="1" applyAlignment="1">
      <alignment horizontal="center"/>
    </xf>
    <xf numFmtId="2" fontId="8" fillId="0" borderId="22" xfId="0" applyNumberFormat="1" applyFont="1" applyBorder="1"/>
    <xf numFmtId="1" fontId="8" fillId="0" borderId="0" xfId="0" applyNumberFormat="1" applyFont="1" applyBorder="1" applyAlignment="1">
      <alignment shrinkToFit="1"/>
    </xf>
    <xf numFmtId="0" fontId="8" fillId="0" borderId="0" xfId="0" applyFont="1" applyBorder="1" applyAlignment="1">
      <alignment shrinkToFit="1"/>
    </xf>
    <xf numFmtId="14" fontId="0" fillId="0" borderId="9" xfId="0" applyNumberFormat="1" applyBorder="1" applyAlignment="1">
      <alignment horizontal="right" vertical="center"/>
    </xf>
    <xf numFmtId="0" fontId="9" fillId="0" borderId="24" xfId="0" applyFont="1" applyBorder="1"/>
    <xf numFmtId="0" fontId="9" fillId="0" borderId="24" xfId="0" applyFont="1" applyBorder="1" applyAlignment="1">
      <alignment horizontal="left"/>
    </xf>
    <xf numFmtId="1" fontId="9" fillId="0" borderId="24" xfId="0" applyNumberFormat="1" applyFont="1" applyBorder="1"/>
    <xf numFmtId="0" fontId="8" fillId="0" borderId="24" xfId="0" applyFont="1" applyBorder="1"/>
    <xf numFmtId="2" fontId="9" fillId="0" borderId="0" xfId="0" applyNumberFormat="1" applyFont="1" applyBorder="1" applyAlignment="1"/>
    <xf numFmtId="0" fontId="13" fillId="0" borderId="0" xfId="0" applyFont="1" applyBorder="1" applyAlignment="1">
      <alignment horizontal="right"/>
    </xf>
    <xf numFmtId="0" fontId="9" fillId="0" borderId="12" xfId="0" applyFont="1" applyBorder="1"/>
    <xf numFmtId="0" fontId="9" fillId="0" borderId="12" xfId="0" applyFont="1" applyBorder="1" applyAlignment="1">
      <alignment horizontal="left"/>
    </xf>
    <xf numFmtId="0" fontId="14" fillId="0" borderId="24" xfId="0" applyFont="1" applyBorder="1" applyAlignment="1">
      <alignment horizontal="left"/>
    </xf>
    <xf numFmtId="0" fontId="12" fillId="0" borderId="15" xfId="0" applyFont="1" applyBorder="1"/>
    <xf numFmtId="0" fontId="12" fillId="0" borderId="0" xfId="0" applyFont="1" applyBorder="1"/>
    <xf numFmtId="0" fontId="17" fillId="0" borderId="0" xfId="0" applyFont="1" applyBorder="1"/>
    <xf numFmtId="0" fontId="12" fillId="0" borderId="16" xfId="0" applyFont="1" applyBorder="1"/>
    <xf numFmtId="0" fontId="17" fillId="0" borderId="27" xfId="0" applyFont="1" applyBorder="1" applyAlignment="1"/>
    <xf numFmtId="0" fontId="17" fillId="0" borderId="24" xfId="0" applyFont="1" applyBorder="1" applyAlignment="1"/>
    <xf numFmtId="0" fontId="12" fillId="0" borderId="24" xfId="0" applyFont="1" applyBorder="1"/>
    <xf numFmtId="0" fontId="17" fillId="0" borderId="24" xfId="0" applyFont="1" applyBorder="1"/>
    <xf numFmtId="0" fontId="12" fillId="0" borderId="28" xfId="0" applyFont="1" applyBorder="1"/>
    <xf numFmtId="0" fontId="17" fillId="0" borderId="27" xfId="0" applyFont="1" applyBorder="1"/>
    <xf numFmtId="0" fontId="17" fillId="0" borderId="27" xfId="0" applyFont="1" applyBorder="1" applyAlignment="1">
      <alignment vertical="center"/>
    </xf>
    <xf numFmtId="0" fontId="12" fillId="0" borderId="24" xfId="0" applyFont="1" applyBorder="1" applyAlignment="1">
      <alignment vertical="center"/>
    </xf>
    <xf numFmtId="0" fontId="17" fillId="0" borderId="24" xfId="0" applyFont="1" applyBorder="1" applyAlignment="1">
      <alignment vertical="center"/>
    </xf>
    <xf numFmtId="0" fontId="12" fillId="0" borderId="12" xfId="0" applyFont="1" applyBorder="1"/>
    <xf numFmtId="0" fontId="12" fillId="0" borderId="13" xfId="0" applyFont="1" applyBorder="1"/>
    <xf numFmtId="0" fontId="12" fillId="0" borderId="19" xfId="0" applyFont="1" applyBorder="1"/>
    <xf numFmtId="0" fontId="12" fillId="0" borderId="20" xfId="0" applyFont="1" applyBorder="1"/>
    <xf numFmtId="0" fontId="12" fillId="0" borderId="18" xfId="0" applyFont="1" applyBorder="1"/>
    <xf numFmtId="0" fontId="12" fillId="0" borderId="15" xfId="0" applyFont="1" applyBorder="1" applyAlignment="1">
      <alignment horizontal="center"/>
    </xf>
    <xf numFmtId="0" fontId="12" fillId="0" borderId="0" xfId="0" applyFont="1" applyBorder="1" applyAlignment="1">
      <alignment horizontal="center"/>
    </xf>
    <xf numFmtId="0" fontId="12" fillId="0" borderId="16" xfId="0" applyFont="1" applyBorder="1" applyAlignment="1">
      <alignment horizontal="center"/>
    </xf>
    <xf numFmtId="0" fontId="12" fillId="0" borderId="0" xfId="0" applyFont="1" applyBorder="1" applyAlignment="1">
      <alignment horizontal="right"/>
    </xf>
    <xf numFmtId="0" fontId="12" fillId="0" borderId="15" xfId="0" applyFont="1" applyBorder="1" applyAlignment="1">
      <alignment horizontal="left" vertical="center"/>
    </xf>
    <xf numFmtId="2" fontId="12" fillId="0" borderId="0" xfId="0" applyNumberFormat="1" applyFont="1" applyBorder="1"/>
    <xf numFmtId="0" fontId="12" fillId="0" borderId="15" xfId="0" applyFont="1" applyBorder="1" applyAlignment="1">
      <alignment horizontal="left"/>
    </xf>
    <xf numFmtId="0" fontId="12" fillId="0" borderId="0" xfId="0" applyFont="1" applyBorder="1" applyAlignment="1">
      <alignment horizontal="left"/>
    </xf>
    <xf numFmtId="0" fontId="12" fillId="0" borderId="16" xfId="0" applyFont="1" applyBorder="1" applyAlignment="1">
      <alignment horizontal="right"/>
    </xf>
    <xf numFmtId="0" fontId="12" fillId="0" borderId="0" xfId="0" applyFont="1" applyBorder="1" applyAlignment="1">
      <alignment horizontal="center" vertical="center"/>
    </xf>
    <xf numFmtId="0" fontId="17" fillId="0" borderId="24" xfId="0" applyFont="1" applyBorder="1" applyAlignment="1">
      <alignment horizontal="center"/>
    </xf>
    <xf numFmtId="0" fontId="17" fillId="0" borderId="15" xfId="0" applyFont="1" applyBorder="1"/>
    <xf numFmtId="0" fontId="17" fillId="0" borderId="0" xfId="0" applyFont="1" applyBorder="1" applyAlignment="1">
      <alignment horizontal="center"/>
    </xf>
    <xf numFmtId="0" fontId="17" fillId="0" borderId="19" xfId="0" applyFont="1" applyBorder="1"/>
    <xf numFmtId="0" fontId="17" fillId="0" borderId="12" xfId="0" applyFont="1" applyBorder="1" applyAlignment="1"/>
    <xf numFmtId="165" fontId="17" fillId="0" borderId="12" xfId="0" applyNumberFormat="1" applyFont="1" applyBorder="1" applyAlignment="1"/>
    <xf numFmtId="0" fontId="19" fillId="0" borderId="0" xfId="0" applyFont="1"/>
    <xf numFmtId="0" fontId="20" fillId="0" borderId="0" xfId="0" applyFont="1"/>
    <xf numFmtId="0" fontId="21" fillId="0" borderId="0" xfId="0" applyFont="1" applyBorder="1" applyAlignment="1">
      <alignment vertical="top" wrapText="1"/>
    </xf>
    <xf numFmtId="0" fontId="21" fillId="0" borderId="16" xfId="0" applyFont="1" applyBorder="1" applyAlignment="1">
      <alignment vertical="top" wrapText="1"/>
    </xf>
    <xf numFmtId="17" fontId="19" fillId="0" borderId="0" xfId="0" applyNumberFormat="1" applyFont="1"/>
    <xf numFmtId="0" fontId="19" fillId="0" borderId="0" xfId="0" applyFont="1" applyAlignment="1">
      <alignment horizontal="center"/>
    </xf>
    <xf numFmtId="14" fontId="19" fillId="0" borderId="0" xfId="0" applyNumberFormat="1" applyFont="1"/>
    <xf numFmtId="164" fontId="19" fillId="0" borderId="0" xfId="0" applyNumberFormat="1" applyFont="1" applyAlignment="1">
      <alignment horizontal="right"/>
    </xf>
    <xf numFmtId="0" fontId="8" fillId="0" borderId="0" xfId="0" applyFont="1" applyBorder="1" applyAlignment="1">
      <alignment horizontal="left" shrinkToFit="1"/>
    </xf>
    <xf numFmtId="0" fontId="12" fillId="0" borderId="0" xfId="0" applyFont="1" applyBorder="1" applyAlignment="1">
      <alignment horizontal="left" shrinkToFit="1"/>
    </xf>
    <xf numFmtId="0" fontId="8" fillId="0" borderId="0" xfId="0" applyFont="1" applyBorder="1" applyAlignment="1">
      <alignment horizontal="left"/>
    </xf>
    <xf numFmtId="0" fontId="15" fillId="0" borderId="25" xfId="0" applyFont="1" applyBorder="1" applyAlignment="1">
      <alignment horizontal="left" shrinkToFit="1"/>
    </xf>
    <xf numFmtId="0" fontId="9" fillId="0" borderId="25" xfId="0" applyFont="1" applyBorder="1" applyAlignment="1">
      <alignment horizontal="left" shrinkToFit="1"/>
    </xf>
    <xf numFmtId="0" fontId="8" fillId="0" borderId="25" xfId="0" applyFont="1" applyBorder="1" applyAlignment="1">
      <alignment horizontal="left" shrinkToFit="1"/>
    </xf>
    <xf numFmtId="0" fontId="8" fillId="0" borderId="25" xfId="0" applyFont="1" applyBorder="1" applyAlignment="1">
      <alignment horizontal="center" shrinkToFit="1"/>
    </xf>
    <xf numFmtId="2" fontId="8" fillId="0" borderId="26" xfId="0" applyNumberFormat="1" applyFont="1" applyBorder="1" applyAlignment="1">
      <alignment horizontal="right" shrinkToFit="1"/>
    </xf>
    <xf numFmtId="0" fontId="9" fillId="0" borderId="0" xfId="0" applyFont="1" applyBorder="1" applyAlignment="1">
      <alignment shrinkToFit="1"/>
    </xf>
    <xf numFmtId="2" fontId="8" fillId="0" borderId="0" xfId="0" applyNumberFormat="1" applyFont="1" applyBorder="1" applyAlignment="1">
      <alignment shrinkToFit="1"/>
    </xf>
    <xf numFmtId="2" fontId="8" fillId="0" borderId="29" xfId="0" applyNumberFormat="1" applyFont="1" applyBorder="1" applyAlignment="1">
      <alignment horizontal="right" shrinkToFit="1"/>
    </xf>
    <xf numFmtId="0" fontId="9" fillId="0" borderId="31" xfId="0" applyFont="1" applyBorder="1" applyAlignment="1">
      <alignment shrinkToFit="1"/>
    </xf>
    <xf numFmtId="0" fontId="8" fillId="0" borderId="32" xfId="0" applyFont="1" applyBorder="1" applyAlignment="1">
      <alignment shrinkToFit="1"/>
    </xf>
    <xf numFmtId="2" fontId="8" fillId="0" borderId="32" xfId="0" applyNumberFormat="1" applyFont="1" applyBorder="1" applyAlignment="1">
      <alignment shrinkToFit="1"/>
    </xf>
    <xf numFmtId="2" fontId="8" fillId="0" borderId="30" xfId="0" applyNumberFormat="1" applyFont="1" applyBorder="1" applyAlignment="1">
      <alignment horizontal="right" shrinkToFit="1"/>
    </xf>
    <xf numFmtId="2" fontId="8" fillId="0" borderId="0" xfId="0" applyNumberFormat="1" applyFont="1" applyBorder="1"/>
    <xf numFmtId="2" fontId="8" fillId="0" borderId="29" xfId="0" applyNumberFormat="1" applyFont="1" applyBorder="1" applyAlignment="1">
      <alignment horizontal="right"/>
    </xf>
    <xf numFmtId="0" fontId="9" fillId="0" borderId="25" xfId="0" applyFont="1" applyBorder="1" applyAlignment="1">
      <alignment shrinkToFit="1"/>
    </xf>
    <xf numFmtId="0" fontId="8" fillId="0" borderId="33" xfId="0" applyFont="1" applyBorder="1" applyAlignment="1">
      <alignment shrinkToFit="1"/>
    </xf>
    <xf numFmtId="0" fontId="8" fillId="0" borderId="25" xfId="0" applyNumberFormat="1" applyFont="1" applyBorder="1" applyAlignment="1">
      <alignment horizontal="left" shrinkToFit="1"/>
    </xf>
    <xf numFmtId="0" fontId="8" fillId="0" borderId="0" xfId="0" applyNumberFormat="1" applyFont="1" applyBorder="1" applyAlignment="1">
      <alignment horizontal="left"/>
    </xf>
    <xf numFmtId="0" fontId="8" fillId="0" borderId="34" xfId="0" applyFont="1" applyBorder="1" applyAlignment="1">
      <alignment horizontal="left"/>
    </xf>
    <xf numFmtId="0" fontId="8" fillId="0" borderId="19" xfId="0" applyFont="1" applyBorder="1" applyAlignment="1">
      <alignment horizontal="left"/>
    </xf>
    <xf numFmtId="0" fontId="9" fillId="0" borderId="34" xfId="0" applyFont="1" applyBorder="1" applyAlignment="1">
      <alignment horizontal="left"/>
    </xf>
    <xf numFmtId="2" fontId="8" fillId="0" borderId="35" xfId="0" applyNumberFormat="1" applyFont="1" applyBorder="1" applyAlignment="1">
      <alignment horizontal="right"/>
    </xf>
    <xf numFmtId="0" fontId="23" fillId="0" borderId="0" xfId="0" applyFont="1"/>
    <xf numFmtId="0" fontId="0" fillId="10" borderId="0" xfId="0" applyFill="1"/>
    <xf numFmtId="0" fontId="24" fillId="10" borderId="0" xfId="0" applyFont="1" applyFill="1" applyBorder="1" applyAlignment="1">
      <alignment vertical="center" wrapText="1"/>
    </xf>
    <xf numFmtId="0" fontId="0" fillId="10" borderId="36" xfId="0" applyFill="1" applyBorder="1" applyAlignment="1">
      <alignment shrinkToFit="1"/>
    </xf>
    <xf numFmtId="0" fontId="25" fillId="11" borderId="39" xfId="0" applyFont="1" applyFill="1" applyBorder="1" applyAlignment="1">
      <alignment vertical="center" shrinkToFit="1"/>
    </xf>
    <xf numFmtId="49" fontId="25" fillId="11" borderId="40" xfId="0" applyNumberFormat="1" applyFont="1" applyFill="1" applyBorder="1" applyAlignment="1">
      <alignment vertical="center" shrinkToFit="1"/>
    </xf>
    <xf numFmtId="0" fontId="25" fillId="11" borderId="40" xfId="0" applyFont="1" applyFill="1" applyBorder="1" applyAlignment="1">
      <alignment vertical="center" shrinkToFit="1"/>
    </xf>
    <xf numFmtId="0" fontId="25" fillId="11" borderId="37" xfId="0" applyFont="1" applyFill="1" applyBorder="1" applyAlignment="1">
      <alignment vertical="center" shrinkToFit="1"/>
    </xf>
    <xf numFmtId="0" fontId="25" fillId="10" borderId="0" xfId="0" applyFont="1" applyFill="1" applyBorder="1" applyAlignment="1">
      <alignment vertical="center"/>
    </xf>
    <xf numFmtId="164" fontId="19" fillId="0" borderId="0" xfId="0" applyNumberFormat="1" applyFont="1"/>
    <xf numFmtId="9" fontId="26" fillId="10" borderId="0" xfId="0" applyNumberFormat="1" applyFont="1" applyFill="1"/>
    <xf numFmtId="164" fontId="25" fillId="11" borderId="38" xfId="0" applyNumberFormat="1" applyFont="1" applyFill="1" applyBorder="1" applyAlignment="1">
      <alignment horizontal="center" vertical="center" shrinkToFit="1"/>
    </xf>
    <xf numFmtId="14" fontId="0" fillId="7" borderId="0" xfId="0" applyNumberFormat="1" applyFill="1"/>
    <xf numFmtId="0" fontId="0" fillId="7" borderId="0" xfId="0" applyFill="1" applyAlignment="1">
      <alignment horizontal="right"/>
    </xf>
    <xf numFmtId="49" fontId="3" fillId="6" borderId="4" xfId="0" applyNumberFormat="1" applyFont="1" applyFill="1" applyBorder="1" applyAlignment="1">
      <alignment horizontal="center"/>
    </xf>
    <xf numFmtId="49" fontId="3" fillId="6" borderId="2" xfId="0" applyNumberFormat="1" applyFont="1" applyFill="1" applyBorder="1" applyAlignment="1">
      <alignment horizontal="center"/>
    </xf>
    <xf numFmtId="0" fontId="6" fillId="8" borderId="0" xfId="0" applyFont="1" applyFill="1" applyAlignment="1">
      <alignment horizontal="center"/>
    </xf>
    <xf numFmtId="0" fontId="0" fillId="3" borderId="2" xfId="0" applyFill="1" applyBorder="1" applyAlignment="1">
      <alignment horizontal="left"/>
    </xf>
    <xf numFmtId="0" fontId="0" fillId="3" borderId="3" xfId="0" applyFill="1" applyBorder="1" applyAlignment="1">
      <alignment horizontal="left"/>
    </xf>
    <xf numFmtId="49" fontId="0" fillId="3" borderId="2" xfId="0" applyNumberFormat="1" applyFill="1" applyBorder="1" applyAlignment="1">
      <alignment horizontal="left"/>
    </xf>
    <xf numFmtId="49" fontId="0" fillId="3" borderId="3" xfId="0" applyNumberFormat="1" applyFill="1" applyBorder="1" applyAlignment="1">
      <alignment horizontal="left"/>
    </xf>
    <xf numFmtId="0" fontId="10" fillId="9" borderId="0" xfId="0" applyFont="1" applyFill="1" applyAlignment="1">
      <alignment horizontal="center" vertical="center"/>
    </xf>
    <xf numFmtId="0" fontId="11" fillId="9" borderId="0" xfId="0" applyFont="1" applyFill="1" applyAlignment="1">
      <alignment horizontal="center" vertical="center"/>
    </xf>
    <xf numFmtId="0" fontId="4" fillId="4" borderId="0" xfId="0" applyFont="1" applyFill="1" applyBorder="1" applyAlignment="1">
      <alignment horizontal="center" vertical="center"/>
    </xf>
    <xf numFmtId="0" fontId="5" fillId="4" borderId="0" xfId="0" applyFont="1" applyFill="1" applyBorder="1" applyAlignment="1">
      <alignment horizontal="center" vertical="center"/>
    </xf>
    <xf numFmtId="49" fontId="3" fillId="5" borderId="4" xfId="0" applyNumberFormat="1" applyFont="1" applyFill="1" applyBorder="1" applyAlignment="1">
      <alignment horizontal="center"/>
    </xf>
    <xf numFmtId="49" fontId="3" fillId="5" borderId="2" xfId="0" applyNumberFormat="1" applyFont="1" applyFill="1" applyBorder="1" applyAlignment="1">
      <alignment horizontal="center"/>
    </xf>
    <xf numFmtId="0" fontId="2" fillId="4" borderId="5" xfId="0" applyFont="1" applyFill="1" applyBorder="1" applyAlignment="1">
      <alignment horizontal="center"/>
    </xf>
    <xf numFmtId="0" fontId="2" fillId="4" borderId="6" xfId="0" applyFont="1" applyFill="1" applyBorder="1" applyAlignment="1">
      <alignment horizontal="center"/>
    </xf>
    <xf numFmtId="0" fontId="2" fillId="4" borderId="7" xfId="0" applyFont="1" applyFill="1" applyBorder="1" applyAlignment="1">
      <alignment horizontal="center"/>
    </xf>
    <xf numFmtId="0" fontId="2" fillId="4" borderId="8" xfId="0" applyFont="1" applyFill="1" applyBorder="1" applyAlignment="1">
      <alignment horizontal="center"/>
    </xf>
    <xf numFmtId="0" fontId="7" fillId="0" borderId="0" xfId="0" applyFont="1" applyAlignment="1">
      <alignment horizont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8" fillId="0" borderId="0" xfId="0" applyFont="1" applyBorder="1" applyAlignment="1">
      <alignment horizontal="center" vertical="center"/>
    </xf>
    <xf numFmtId="0" fontId="8" fillId="0" borderId="16"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22" fillId="0" borderId="12" xfId="0" applyFont="1" applyBorder="1" applyAlignment="1">
      <alignment horizontal="center"/>
    </xf>
    <xf numFmtId="0" fontId="22" fillId="0" borderId="23" xfId="0" applyFont="1" applyBorder="1" applyAlignment="1">
      <alignment horizontal="center"/>
    </xf>
    <xf numFmtId="165" fontId="9" fillId="0" borderId="12" xfId="0" applyNumberFormat="1" applyFont="1" applyBorder="1" applyAlignment="1">
      <alignment horizontal="center"/>
    </xf>
    <xf numFmtId="0" fontId="17" fillId="0" borderId="19" xfId="0" applyFont="1" applyBorder="1" applyAlignment="1">
      <alignment horizontal="center"/>
    </xf>
    <xf numFmtId="0" fontId="17" fillId="0" borderId="20" xfId="0" applyFont="1" applyBorder="1" applyAlignment="1">
      <alignment horizontal="center"/>
    </xf>
    <xf numFmtId="2" fontId="12" fillId="0" borderId="27" xfId="0" applyNumberFormat="1" applyFont="1" applyBorder="1" applyAlignment="1">
      <alignment horizontal="right" vertical="center"/>
    </xf>
    <xf numFmtId="2" fontId="12" fillId="0" borderId="28" xfId="0" applyNumberFormat="1" applyFont="1" applyBorder="1" applyAlignment="1">
      <alignment horizontal="right" vertical="center"/>
    </xf>
    <xf numFmtId="0" fontId="12" fillId="0" borderId="15" xfId="0" applyFont="1" applyBorder="1" applyAlignment="1">
      <alignment horizontal="left"/>
    </xf>
    <xf numFmtId="0" fontId="12" fillId="0" borderId="0" xfId="0" applyFont="1" applyBorder="1" applyAlignment="1">
      <alignment horizontal="left"/>
    </xf>
    <xf numFmtId="0" fontId="17" fillId="0" borderId="18" xfId="0" applyFont="1" applyBorder="1" applyAlignment="1">
      <alignment horizontal="left"/>
    </xf>
    <xf numFmtId="0" fontId="17" fillId="0" borderId="19" xfId="0" applyFont="1" applyBorder="1" applyAlignment="1">
      <alignment horizontal="left"/>
    </xf>
    <xf numFmtId="0" fontId="12" fillId="0" borderId="15" xfId="0" applyFont="1" applyBorder="1" applyAlignment="1">
      <alignment horizontal="left" vertical="top" wrapText="1"/>
    </xf>
    <xf numFmtId="0" fontId="12" fillId="0" borderId="0" xfId="0" applyFont="1" applyBorder="1" applyAlignment="1">
      <alignment horizontal="left" vertical="top" wrapText="1"/>
    </xf>
    <xf numFmtId="0" fontId="12" fillId="0" borderId="16" xfId="0" applyFont="1" applyBorder="1" applyAlignment="1">
      <alignment horizontal="left" vertical="top" wrapText="1"/>
    </xf>
    <xf numFmtId="0" fontId="12" fillId="0" borderId="18" xfId="0" applyFont="1" applyBorder="1" applyAlignment="1">
      <alignment horizontal="left" vertical="top" wrapText="1"/>
    </xf>
    <xf numFmtId="0" fontId="12" fillId="0" borderId="19" xfId="0" applyFont="1" applyBorder="1" applyAlignment="1">
      <alignment horizontal="left" vertical="top" wrapText="1"/>
    </xf>
    <xf numFmtId="0" fontId="12" fillId="0" borderId="20" xfId="0" applyFont="1" applyBorder="1" applyAlignment="1">
      <alignment horizontal="left" vertical="top" wrapText="1"/>
    </xf>
    <xf numFmtId="0" fontId="12" fillId="0" borderId="0" xfId="0" applyFont="1" applyBorder="1" applyAlignment="1">
      <alignment horizontal="center"/>
    </xf>
    <xf numFmtId="0" fontId="12" fillId="0" borderId="16" xfId="0" applyFont="1" applyBorder="1" applyAlignment="1">
      <alignment horizontal="center"/>
    </xf>
    <xf numFmtId="2" fontId="12" fillId="0" borderId="0" xfId="0" applyNumberFormat="1" applyFont="1" applyBorder="1" applyAlignment="1">
      <alignment horizontal="right" vertical="center"/>
    </xf>
    <xf numFmtId="2" fontId="12" fillId="0" borderId="16" xfId="0" applyNumberFormat="1" applyFont="1" applyBorder="1" applyAlignment="1">
      <alignment horizontal="right" vertical="center"/>
    </xf>
    <xf numFmtId="0" fontId="12" fillId="0" borderId="15" xfId="0" applyFont="1" applyBorder="1" applyAlignment="1">
      <alignment horizontal="center"/>
    </xf>
    <xf numFmtId="0" fontId="17" fillId="0" borderId="15" xfId="0" applyFont="1" applyBorder="1" applyAlignment="1">
      <alignment horizontal="center"/>
    </xf>
    <xf numFmtId="0" fontId="17" fillId="0" borderId="0" xfId="0" applyFont="1" applyBorder="1" applyAlignment="1">
      <alignment horizontal="center"/>
    </xf>
    <xf numFmtId="0" fontId="17" fillId="0" borderId="16" xfId="0" applyFont="1" applyBorder="1" applyAlignment="1">
      <alignment horizontal="center"/>
    </xf>
    <xf numFmtId="0" fontId="21" fillId="0" borderId="0" xfId="0" applyFont="1" applyBorder="1" applyAlignment="1">
      <alignment horizontal="left" wrapText="1"/>
    </xf>
    <xf numFmtId="0" fontId="21" fillId="0" borderId="16" xfId="0" applyFont="1" applyBorder="1" applyAlignment="1">
      <alignment horizontal="left" wrapText="1"/>
    </xf>
    <xf numFmtId="0" fontId="16" fillId="0" borderId="27" xfId="0" applyFont="1" applyBorder="1" applyAlignment="1">
      <alignment horizontal="center" vertical="center" wrapText="1"/>
    </xf>
    <xf numFmtId="0" fontId="16" fillId="0" borderId="24" xfId="0" applyFont="1" applyBorder="1" applyAlignment="1">
      <alignment horizontal="center" vertical="center"/>
    </xf>
    <xf numFmtId="0" fontId="16" fillId="0" borderId="28" xfId="0" applyFont="1" applyBorder="1" applyAlignment="1">
      <alignment horizontal="center" vertical="center"/>
    </xf>
    <xf numFmtId="0" fontId="8" fillId="0" borderId="11" xfId="0" applyFont="1" applyBorder="1" applyAlignment="1">
      <alignment horizontal="left" vertical="top" wrapText="1"/>
    </xf>
    <xf numFmtId="0" fontId="12" fillId="0" borderId="12" xfId="0" applyFont="1" applyBorder="1" applyAlignment="1">
      <alignment horizontal="left" vertical="top" wrapText="1"/>
    </xf>
    <xf numFmtId="0" fontId="12" fillId="0" borderId="19" xfId="0" applyFont="1" applyBorder="1" applyAlignment="1">
      <alignment horizontal="center"/>
    </xf>
    <xf numFmtId="0" fontId="8" fillId="0" borderId="19" xfId="0" applyFont="1" applyBorder="1" applyAlignment="1">
      <alignment horizontal="center"/>
    </xf>
    <xf numFmtId="0" fontId="18" fillId="0" borderId="11" xfId="0" applyFont="1" applyBorder="1" applyAlignment="1">
      <alignment horizontal="left" vertical="top" wrapText="1"/>
    </xf>
    <xf numFmtId="0" fontId="12" fillId="0" borderId="13" xfId="0" applyFont="1" applyBorder="1" applyAlignment="1">
      <alignment horizontal="left" vertical="top" wrapText="1"/>
    </xf>
    <xf numFmtId="0" fontId="17" fillId="0" borderId="11" xfId="0" applyFont="1" applyBorder="1" applyAlignment="1">
      <alignment horizontal="center"/>
    </xf>
    <xf numFmtId="0" fontId="17" fillId="0" borderId="12" xfId="0" applyFont="1" applyBorder="1" applyAlignment="1">
      <alignment horizontal="center"/>
    </xf>
    <xf numFmtId="0" fontId="17" fillId="0" borderId="13" xfId="0" applyFont="1" applyBorder="1" applyAlignment="1">
      <alignment horizontal="center"/>
    </xf>
    <xf numFmtId="0" fontId="16" fillId="0" borderId="11" xfId="0" applyFont="1" applyBorder="1" applyAlignment="1">
      <alignment horizontal="center"/>
    </xf>
    <xf numFmtId="0" fontId="16" fillId="0" borderId="12" xfId="0" applyFont="1" applyBorder="1" applyAlignment="1">
      <alignment horizontal="center"/>
    </xf>
    <xf numFmtId="0" fontId="16" fillId="0" borderId="13" xfId="0" applyFont="1" applyBorder="1" applyAlignment="1">
      <alignment horizontal="center"/>
    </xf>
  </cellXfs>
  <cellStyles count="1">
    <cellStyle name="Normal" xfId="0" builtinId="0"/>
  </cellStyles>
  <dxfs count="1">
    <dxf>
      <font>
        <color theme="0"/>
      </font>
      <border>
        <left/>
        <right/>
        <top/>
        <bottom/>
        <vertical/>
        <horizontal/>
      </border>
    </dxf>
  </dxfs>
  <tableStyles count="0" defaultTableStyle="TableStyleMedium9" defaultPivotStyle="PivotStyleLight16"/>
  <colors>
    <mruColors>
      <color rgb="FF0000FF"/>
      <color rgb="FF800080"/>
      <color rgb="FFFF00FF"/>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WORKS\ARREAR%20NOW\Sushila%20Kumawat.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eed"/>
      <sheetName val="PRINT"/>
      <sheetName val="ded"/>
      <sheetName val="O1st"/>
      <sheetName val="In1"/>
      <sheetName val="89In"/>
      <sheetName val="89O"/>
      <sheetName val="CPF &amp; I TAX"/>
      <sheetName val="Schedules"/>
    </sheetNames>
    <sheetDataSet>
      <sheetData sheetId="0"/>
      <sheetData sheetId="1">
        <row r="4">
          <cell r="BB4">
            <v>1</v>
          </cell>
          <cell r="BC4">
            <v>1</v>
          </cell>
          <cell r="BD4" t="str">
            <v>BASICPAY</v>
          </cell>
          <cell r="BE4">
            <v>100</v>
          </cell>
          <cell r="BF4">
            <v>5886</v>
          </cell>
        </row>
        <row r="5">
          <cell r="BB5" t="str">
            <v/>
          </cell>
          <cell r="BC5" t="str">
            <v/>
          </cell>
          <cell r="BD5" t="str">
            <v>DP</v>
          </cell>
          <cell r="BE5">
            <v>98</v>
          </cell>
          <cell r="BF5">
            <v>0</v>
          </cell>
        </row>
        <row r="6">
          <cell r="BB6">
            <v>2</v>
          </cell>
          <cell r="BC6">
            <v>1</v>
          </cell>
          <cell r="BD6" t="str">
            <v>DA</v>
          </cell>
          <cell r="BE6">
            <v>104</v>
          </cell>
          <cell r="BF6">
            <v>3541</v>
          </cell>
        </row>
        <row r="7">
          <cell r="BB7" t="str">
            <v/>
          </cell>
          <cell r="BC7" t="str">
            <v/>
          </cell>
          <cell r="BD7" t="str">
            <v>FDA</v>
          </cell>
          <cell r="BE7">
            <v>97</v>
          </cell>
          <cell r="BF7">
            <v>0</v>
          </cell>
        </row>
        <row r="8">
          <cell r="BB8">
            <v>3</v>
          </cell>
          <cell r="BC8">
            <v>1</v>
          </cell>
          <cell r="BD8" t="str">
            <v>HRA</v>
          </cell>
          <cell r="BE8">
            <v>107</v>
          </cell>
          <cell r="BF8">
            <v>588</v>
          </cell>
        </row>
        <row r="9">
          <cell r="BB9" t="str">
            <v/>
          </cell>
          <cell r="BC9" t="str">
            <v/>
          </cell>
          <cell r="BD9" t="str">
            <v>IR</v>
          </cell>
          <cell r="BF9">
            <v>0</v>
          </cell>
        </row>
        <row r="10">
          <cell r="BB10" t="str">
            <v/>
          </cell>
          <cell r="BC10" t="str">
            <v/>
          </cell>
          <cell r="BD10" t="str">
            <v>WashAllo</v>
          </cell>
        </row>
        <row r="11">
          <cell r="BB11" t="str">
            <v/>
          </cell>
          <cell r="BC11" t="str">
            <v/>
          </cell>
          <cell r="BD11" t="str">
            <v>Handi.All</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K140"/>
  <sheetViews>
    <sheetView tabSelected="1" workbookViewId="0">
      <pane ySplit="13" topLeftCell="A17" activePane="bottomLeft" state="frozen"/>
      <selection pane="bottomLeft" activeCell="E18" sqref="E18"/>
    </sheetView>
  </sheetViews>
  <sheetFormatPr defaultRowHeight="15"/>
  <cols>
    <col min="1" max="1" width="19.140625" customWidth="1"/>
    <col min="2" max="2" width="5.28515625" customWidth="1"/>
    <col min="3" max="3" width="19.42578125" customWidth="1"/>
    <col min="4" max="4" width="15.42578125" customWidth="1"/>
    <col min="5" max="5" width="10.7109375" customWidth="1"/>
    <col min="6" max="6" width="17.85546875" customWidth="1"/>
    <col min="7" max="7" width="18.140625" customWidth="1"/>
    <col min="8" max="8" width="16.5703125" customWidth="1"/>
    <col min="9" max="9" width="16.7109375" customWidth="1"/>
    <col min="10" max="10" width="17.140625" customWidth="1"/>
    <col min="23" max="23" width="10.7109375" bestFit="1" customWidth="1"/>
    <col min="31" max="31" width="16.5703125" customWidth="1"/>
    <col min="32" max="32" width="12.28515625" customWidth="1"/>
  </cols>
  <sheetData>
    <row r="1" spans="1:37">
      <c r="A1" s="1" t="s">
        <v>0</v>
      </c>
      <c r="B1" s="127" t="s">
        <v>27</v>
      </c>
      <c r="C1" s="128"/>
      <c r="E1" s="131" t="s">
        <v>50</v>
      </c>
      <c r="F1" s="131"/>
      <c r="G1" s="131"/>
      <c r="H1" s="131"/>
      <c r="Y1" s="110"/>
    </row>
    <row r="2" spans="1:37">
      <c r="A2" s="1" t="s">
        <v>1</v>
      </c>
      <c r="B2" s="129" t="s">
        <v>2</v>
      </c>
      <c r="C2" s="130"/>
      <c r="E2" s="131"/>
      <c r="F2" s="131"/>
      <c r="G2" s="131"/>
      <c r="H2" s="131"/>
      <c r="Q2" s="81">
        <v>39083</v>
      </c>
      <c r="R2" s="82">
        <v>6</v>
      </c>
      <c r="S2" s="77"/>
      <c r="T2" s="77"/>
      <c r="U2" s="77"/>
      <c r="V2" s="77"/>
      <c r="W2" s="77"/>
      <c r="X2" s="77"/>
      <c r="Y2" s="110"/>
      <c r="Z2" s="77"/>
      <c r="AA2" s="77"/>
      <c r="AB2" s="77"/>
      <c r="AC2" s="77"/>
      <c r="AD2" s="77"/>
      <c r="AE2" s="77"/>
      <c r="AF2" s="77"/>
      <c r="AG2" s="77"/>
      <c r="AH2" s="77"/>
      <c r="AI2" s="77"/>
      <c r="AJ2" s="77"/>
      <c r="AK2" s="77"/>
    </row>
    <row r="3" spans="1:37" ht="15" customHeight="1">
      <c r="A3" s="2" t="s">
        <v>3</v>
      </c>
      <c r="B3" s="135" t="s">
        <v>109</v>
      </c>
      <c r="C3" s="136"/>
      <c r="E3" s="133" t="s">
        <v>28</v>
      </c>
      <c r="F3" s="133"/>
      <c r="G3" s="133"/>
      <c r="H3" s="133"/>
      <c r="L3" s="77"/>
      <c r="M3" s="77"/>
      <c r="N3" s="77"/>
      <c r="O3" s="77"/>
      <c r="P3" s="77"/>
      <c r="Q3" s="81">
        <v>39114</v>
      </c>
      <c r="R3" s="82">
        <v>6</v>
      </c>
      <c r="S3" s="77"/>
      <c r="T3" s="77"/>
      <c r="U3" s="77"/>
      <c r="V3" s="77"/>
      <c r="W3" s="77"/>
      <c r="X3" s="77"/>
      <c r="Y3" s="77"/>
      <c r="Z3" s="77"/>
      <c r="AA3" s="77"/>
      <c r="AB3" s="77"/>
      <c r="AC3" s="77"/>
      <c r="AD3" s="77"/>
      <c r="AE3" s="77"/>
      <c r="AF3" s="77"/>
      <c r="AG3" s="77"/>
      <c r="AH3" s="77"/>
      <c r="AI3" s="77"/>
      <c r="AJ3" s="77"/>
      <c r="AK3" s="77"/>
    </row>
    <row r="4" spans="1:37" ht="15" customHeight="1">
      <c r="A4" s="2" t="s">
        <v>4</v>
      </c>
      <c r="B4" s="137" t="s">
        <v>100</v>
      </c>
      <c r="C4" s="138"/>
      <c r="E4" s="133"/>
      <c r="F4" s="133"/>
      <c r="G4" s="133"/>
      <c r="H4" s="133"/>
      <c r="L4" s="77"/>
      <c r="M4" s="77"/>
      <c r="N4" s="77"/>
      <c r="O4" s="77"/>
      <c r="P4" s="77"/>
      <c r="Q4" s="81">
        <v>39142</v>
      </c>
      <c r="R4" s="82">
        <v>6</v>
      </c>
      <c r="S4" s="77"/>
      <c r="T4" s="77"/>
      <c r="U4" s="77"/>
      <c r="V4" s="77"/>
      <c r="W4" s="77"/>
      <c r="X4" s="77"/>
      <c r="Y4" s="77"/>
      <c r="Z4" s="77"/>
      <c r="AA4" s="77"/>
      <c r="AB4" s="77"/>
      <c r="AC4" s="77"/>
      <c r="AD4" s="77"/>
      <c r="AE4" s="77"/>
      <c r="AF4" s="77"/>
      <c r="AG4" s="77"/>
      <c r="AH4" s="77"/>
      <c r="AI4" s="77"/>
      <c r="AJ4" s="77"/>
      <c r="AK4" s="77"/>
    </row>
    <row r="5" spans="1:37" ht="15" customHeight="1">
      <c r="A5" s="2" t="s">
        <v>5</v>
      </c>
      <c r="B5" s="139" t="s">
        <v>6</v>
      </c>
      <c r="C5" s="140"/>
      <c r="E5" s="133"/>
      <c r="F5" s="133"/>
      <c r="G5" s="133"/>
      <c r="H5" s="133"/>
      <c r="L5" s="77"/>
      <c r="M5" s="77"/>
      <c r="N5" s="77"/>
      <c r="O5" s="77"/>
      <c r="P5" s="77"/>
      <c r="Q5" s="81">
        <v>39173</v>
      </c>
      <c r="R5" s="82">
        <v>6</v>
      </c>
      <c r="S5" s="77"/>
      <c r="T5" s="77"/>
      <c r="U5" s="77"/>
      <c r="V5" s="77"/>
      <c r="W5" s="77"/>
      <c r="X5" s="77"/>
      <c r="Y5" s="77"/>
      <c r="Z5" s="77"/>
      <c r="AA5" s="77"/>
      <c r="AB5" s="77"/>
      <c r="AC5" s="77"/>
      <c r="AD5" s="77"/>
      <c r="AE5" s="77"/>
      <c r="AF5" s="77"/>
      <c r="AG5" s="77"/>
      <c r="AH5" s="77"/>
      <c r="AI5" s="77"/>
      <c r="AJ5" s="77"/>
      <c r="AK5" s="77"/>
    </row>
    <row r="6" spans="1:37" ht="15.75">
      <c r="A6" s="2" t="s">
        <v>7</v>
      </c>
      <c r="B6" s="124" t="s">
        <v>8</v>
      </c>
      <c r="C6" s="125"/>
      <c r="E6" s="132" t="s">
        <v>51</v>
      </c>
      <c r="F6" s="132"/>
      <c r="G6" s="132"/>
      <c r="H6" s="132"/>
      <c r="L6" s="77"/>
      <c r="M6" s="77"/>
      <c r="N6" s="77"/>
      <c r="O6" s="77"/>
      <c r="P6" s="77"/>
      <c r="Q6" s="81">
        <v>39203</v>
      </c>
      <c r="R6" s="82">
        <v>6</v>
      </c>
      <c r="S6" s="77"/>
      <c r="T6" s="77"/>
      <c r="U6" s="77"/>
      <c r="V6" s="77"/>
      <c r="W6" s="77"/>
      <c r="X6" s="77"/>
      <c r="Y6" s="77"/>
      <c r="Z6" s="77"/>
      <c r="AA6" s="77"/>
      <c r="AB6" s="77"/>
      <c r="AC6" s="77"/>
      <c r="AD6" s="77"/>
      <c r="AE6" s="77"/>
      <c r="AF6" s="77"/>
      <c r="AG6" s="77"/>
      <c r="AH6" s="77"/>
      <c r="AI6" s="77"/>
      <c r="AJ6" s="77"/>
      <c r="AK6" s="77"/>
    </row>
    <row r="7" spans="1:37">
      <c r="A7" s="2" t="s">
        <v>9</v>
      </c>
      <c r="B7" s="124" t="s">
        <v>99</v>
      </c>
      <c r="C7" s="125"/>
      <c r="E7" s="134" t="s">
        <v>29</v>
      </c>
      <c r="F7" s="134"/>
      <c r="G7" s="134"/>
      <c r="H7" s="134"/>
      <c r="L7" s="77"/>
      <c r="M7" s="77"/>
      <c r="N7" s="77"/>
      <c r="O7" s="77"/>
      <c r="P7" s="77"/>
      <c r="Q7" s="81">
        <v>39234</v>
      </c>
      <c r="R7" s="82">
        <v>6</v>
      </c>
      <c r="S7" s="77"/>
      <c r="T7" s="77"/>
      <c r="U7" s="77"/>
      <c r="V7" s="77"/>
      <c r="W7" s="77"/>
      <c r="X7" s="77"/>
      <c r="Y7" s="77"/>
      <c r="Z7" s="77"/>
      <c r="AA7" s="77"/>
      <c r="AB7" s="77"/>
      <c r="AC7" s="77"/>
      <c r="AD7" s="77"/>
      <c r="AE7" s="77"/>
      <c r="AF7" s="77"/>
      <c r="AG7" s="77"/>
      <c r="AH7" s="77"/>
      <c r="AI7" s="77"/>
      <c r="AJ7" s="77"/>
      <c r="AK7" s="77"/>
    </row>
    <row r="8" spans="1:37">
      <c r="A8" s="2" t="s">
        <v>10</v>
      </c>
      <c r="B8" s="124" t="s">
        <v>99</v>
      </c>
      <c r="C8" s="125"/>
      <c r="E8" s="134"/>
      <c r="F8" s="134"/>
      <c r="G8" s="134"/>
      <c r="H8" s="134"/>
      <c r="L8" s="77"/>
      <c r="M8" s="77"/>
      <c r="N8" s="77"/>
      <c r="O8" s="77"/>
      <c r="P8" s="77"/>
      <c r="Q8" s="81">
        <v>39264</v>
      </c>
      <c r="R8" s="82">
        <v>9</v>
      </c>
      <c r="S8" s="77"/>
      <c r="T8" s="77"/>
      <c r="U8" s="77"/>
      <c r="V8" s="77"/>
      <c r="W8" s="77"/>
      <c r="X8" s="77"/>
      <c r="Y8" s="77"/>
      <c r="Z8" s="77"/>
      <c r="AA8" s="77"/>
      <c r="AB8" s="77"/>
      <c r="AC8" s="77"/>
      <c r="AD8" s="77"/>
      <c r="AE8" s="77"/>
      <c r="AF8" s="77"/>
      <c r="AG8" s="77"/>
      <c r="AH8" s="77"/>
      <c r="AI8" s="77"/>
      <c r="AJ8" s="77"/>
      <c r="AK8" s="77"/>
    </row>
    <row r="9" spans="1:37">
      <c r="A9" s="2" t="s">
        <v>11</v>
      </c>
      <c r="B9" s="124" t="s">
        <v>12</v>
      </c>
      <c r="C9" s="125"/>
      <c r="E9" s="134"/>
      <c r="F9" s="134"/>
      <c r="G9" s="134"/>
      <c r="H9" s="134"/>
      <c r="L9" s="77"/>
      <c r="M9" s="77"/>
      <c r="N9" s="77"/>
      <c r="O9" s="77"/>
      <c r="P9" s="77"/>
      <c r="Q9" s="81">
        <v>39295</v>
      </c>
      <c r="R9" s="82">
        <v>9</v>
      </c>
      <c r="S9" s="77"/>
      <c r="T9" s="77"/>
      <c r="U9" s="77"/>
      <c r="V9" s="77"/>
      <c r="W9" s="77"/>
      <c r="X9" s="77"/>
      <c r="Y9" s="77"/>
      <c r="Z9" s="77"/>
      <c r="AA9" s="77"/>
      <c r="AB9" s="77"/>
      <c r="AC9" s="77"/>
      <c r="AD9" s="77"/>
      <c r="AE9" s="77"/>
      <c r="AF9" s="77"/>
      <c r="AG9" s="77"/>
      <c r="AH9" s="77"/>
      <c r="AI9" s="77"/>
      <c r="AJ9" s="77"/>
      <c r="AK9" s="77"/>
    </row>
    <row r="10" spans="1:37">
      <c r="A10" s="2" t="s">
        <v>13</v>
      </c>
      <c r="B10" s="124" t="s">
        <v>14</v>
      </c>
      <c r="C10" s="125"/>
      <c r="L10" s="77"/>
      <c r="M10" s="77"/>
      <c r="N10" s="77"/>
      <c r="O10" s="77"/>
      <c r="P10" s="77"/>
      <c r="Q10" s="81">
        <v>39326</v>
      </c>
      <c r="R10" s="82">
        <v>9</v>
      </c>
      <c r="S10" s="77"/>
      <c r="T10" s="77"/>
      <c r="U10" s="77"/>
      <c r="V10" s="77"/>
      <c r="W10" s="77"/>
      <c r="X10" s="77"/>
      <c r="Y10" s="77"/>
      <c r="Z10" s="77"/>
      <c r="AA10" s="77"/>
      <c r="AB10" s="77"/>
      <c r="AC10" s="77"/>
      <c r="AD10" s="77"/>
      <c r="AE10" s="77"/>
      <c r="AF10" s="77"/>
      <c r="AG10" s="77"/>
      <c r="AH10" s="77"/>
      <c r="AI10" s="77"/>
      <c r="AJ10" s="77"/>
      <c r="AK10" s="77"/>
    </row>
    <row r="11" spans="1:37" ht="18.75">
      <c r="A11" s="2" t="s">
        <v>15</v>
      </c>
      <c r="B11" s="124" t="s">
        <v>21</v>
      </c>
      <c r="C11" s="125"/>
      <c r="E11" s="126" t="s">
        <v>93</v>
      </c>
      <c r="F11" s="126"/>
      <c r="G11" s="126"/>
      <c r="H11" s="126"/>
      <c r="L11" s="77"/>
      <c r="M11" s="77"/>
      <c r="N11" s="77"/>
      <c r="O11" s="77"/>
      <c r="P11" s="77"/>
      <c r="Q11" s="81">
        <v>39356</v>
      </c>
      <c r="R11" s="82">
        <v>9</v>
      </c>
      <c r="S11" s="77"/>
      <c r="T11" s="77"/>
      <c r="U11" s="77"/>
      <c r="V11" s="77"/>
      <c r="W11" s="77"/>
      <c r="X11" s="77"/>
      <c r="Y11" s="77"/>
      <c r="Z11" s="77"/>
      <c r="AA11" s="77"/>
      <c r="AB11" s="77"/>
      <c r="AC11" s="77"/>
      <c r="AD11" s="77"/>
      <c r="AE11" s="77"/>
      <c r="AF11" s="77"/>
      <c r="AG11" s="77"/>
      <c r="AH11" s="77"/>
      <c r="AI11" s="77"/>
      <c r="AJ11" s="77"/>
      <c r="AK11" s="77"/>
    </row>
    <row r="12" spans="1:37">
      <c r="A12" s="2" t="s">
        <v>30</v>
      </c>
      <c r="B12" s="124" t="s">
        <v>108</v>
      </c>
      <c r="C12" s="125"/>
      <c r="L12" s="77"/>
      <c r="M12" s="77"/>
      <c r="N12" s="77"/>
      <c r="O12" s="77"/>
      <c r="P12" s="77"/>
      <c r="Q12" s="81">
        <v>39387</v>
      </c>
      <c r="R12" s="82">
        <v>9</v>
      </c>
      <c r="S12" s="77"/>
      <c r="T12" s="77"/>
      <c r="U12" s="77"/>
      <c r="V12" s="77"/>
      <c r="W12" s="77"/>
      <c r="X12" s="77"/>
      <c r="Y12" s="77"/>
      <c r="Z12" s="77"/>
      <c r="AA12" s="77"/>
      <c r="AB12" s="77"/>
      <c r="AC12" s="77"/>
      <c r="AD12" s="77"/>
      <c r="AE12" s="77"/>
      <c r="AF12" s="77"/>
      <c r="AG12" s="77"/>
      <c r="AH12" s="77"/>
      <c r="AI12" s="77"/>
      <c r="AJ12" s="77"/>
      <c r="AK12" s="77"/>
    </row>
    <row r="13" spans="1:37" ht="30.75" customHeight="1">
      <c r="A13" s="4" t="s">
        <v>16</v>
      </c>
      <c r="B13" s="4" t="s">
        <v>17</v>
      </c>
      <c r="C13" s="4" t="s">
        <v>18</v>
      </c>
      <c r="D13" s="4" t="s">
        <v>19</v>
      </c>
      <c r="E13" s="4" t="s">
        <v>25</v>
      </c>
      <c r="F13" s="4" t="s">
        <v>20</v>
      </c>
      <c r="G13" s="4" t="s">
        <v>22</v>
      </c>
      <c r="H13" s="4" t="s">
        <v>23</v>
      </c>
      <c r="I13" s="4" t="s">
        <v>24</v>
      </c>
      <c r="J13" s="5" t="s">
        <v>26</v>
      </c>
      <c r="L13" s="77"/>
      <c r="M13" s="77"/>
      <c r="N13" s="77"/>
      <c r="O13" s="77"/>
      <c r="P13" s="77"/>
      <c r="Q13" s="81">
        <v>39417</v>
      </c>
      <c r="R13" s="82">
        <v>9</v>
      </c>
      <c r="S13" s="77"/>
      <c r="T13" s="77"/>
      <c r="U13" s="77"/>
      <c r="V13" s="77"/>
      <c r="W13" s="83"/>
      <c r="X13" s="77"/>
      <c r="Y13" s="77"/>
      <c r="Z13" s="77"/>
      <c r="AA13" s="77"/>
      <c r="AB13" s="77"/>
      <c r="AC13" s="77"/>
      <c r="AD13" s="77"/>
      <c r="AE13" s="77"/>
      <c r="AF13" s="77"/>
      <c r="AG13" s="77"/>
      <c r="AH13" s="77"/>
      <c r="AI13" s="77"/>
      <c r="AJ13" s="77"/>
      <c r="AK13" s="77"/>
    </row>
    <row r="14" spans="1:37" ht="27.75" customHeight="1">
      <c r="A14" s="6">
        <v>74064</v>
      </c>
      <c r="B14" s="6">
        <v>1</v>
      </c>
      <c r="C14" s="6" t="s">
        <v>102</v>
      </c>
      <c r="D14" s="6" t="s">
        <v>103</v>
      </c>
      <c r="E14" s="6">
        <v>1650</v>
      </c>
      <c r="F14" s="6" t="s">
        <v>104</v>
      </c>
      <c r="G14" s="8" t="s">
        <v>106</v>
      </c>
      <c r="H14" s="7">
        <v>41060</v>
      </c>
      <c r="I14" s="6">
        <v>300</v>
      </c>
      <c r="J14" s="6">
        <v>11110</v>
      </c>
      <c r="L14" s="77"/>
      <c r="M14" s="77"/>
      <c r="N14" s="77"/>
      <c r="O14" s="77"/>
      <c r="P14" s="77"/>
      <c r="Q14" s="81">
        <v>39448</v>
      </c>
      <c r="R14" s="82">
        <v>12</v>
      </c>
      <c r="S14" s="77"/>
      <c r="T14" s="77"/>
      <c r="U14" s="77">
        <f>IF(H14="","",MONTH(H14))</f>
        <v>5</v>
      </c>
      <c r="V14" s="77">
        <f>IF(H14="","",YEAR(H14))</f>
        <v>2012</v>
      </c>
      <c r="W14" s="84" t="str">
        <f>IF(U14="","",U14&amp;"/"&amp;V14)</f>
        <v>5/2012</v>
      </c>
      <c r="X14" s="77">
        <f>IF(W14="","",VALUE(W14))</f>
        <v>41030</v>
      </c>
      <c r="Y14" s="77">
        <f>IF(U14="",0,(VLOOKUP(X14,Q$2:R$203,2,FALSE)))</f>
        <v>65</v>
      </c>
      <c r="Z14" s="77"/>
      <c r="AA14" s="77">
        <f>ROUND(J14/30*I14,0)</f>
        <v>111100</v>
      </c>
      <c r="AB14" s="77">
        <f>ROUND(AA14*Y14%,0)</f>
        <v>72215</v>
      </c>
      <c r="AC14" s="77"/>
      <c r="AD14" s="77"/>
      <c r="AE14" s="77" t="str">
        <f>CONCATENATE(AF14,"(",E14,")")</f>
        <v>4750-7440(1650)</v>
      </c>
      <c r="AF14" s="77" t="str">
        <f>IF(E14="","",IF(E14&lt;=1650,"4750-7440",IF(E14&lt;=2800,"5200-20200",IF(E14&lt;=5400,"9300-34800",IF(E14&lt;=8200,"15600-39100")))))</f>
        <v>4750-7440</v>
      </c>
      <c r="AG14" s="77"/>
      <c r="AH14" s="77"/>
      <c r="AI14" s="77"/>
      <c r="AJ14" s="77"/>
      <c r="AK14" s="77"/>
    </row>
    <row r="15" spans="1:37" ht="27.75" customHeight="1">
      <c r="A15" s="6">
        <v>501182</v>
      </c>
      <c r="B15" s="6">
        <v>2</v>
      </c>
      <c r="C15" s="6" t="s">
        <v>102</v>
      </c>
      <c r="D15" s="6" t="s">
        <v>103</v>
      </c>
      <c r="E15" s="6">
        <v>3600</v>
      </c>
      <c r="F15" s="6" t="s">
        <v>105</v>
      </c>
      <c r="G15" s="8" t="s">
        <v>107</v>
      </c>
      <c r="H15" s="7">
        <v>41090</v>
      </c>
      <c r="I15" s="6">
        <v>280</v>
      </c>
      <c r="J15" s="6">
        <v>22430</v>
      </c>
      <c r="L15" s="77"/>
      <c r="M15" s="77"/>
      <c r="N15" s="77"/>
      <c r="O15" s="77"/>
      <c r="P15" s="77"/>
      <c r="Q15" s="81">
        <v>39479</v>
      </c>
      <c r="R15" s="82">
        <v>12</v>
      </c>
      <c r="S15" s="77"/>
      <c r="T15" s="77"/>
      <c r="U15" s="77">
        <f>IF(H15="","",MONTH(H15))</f>
        <v>6</v>
      </c>
      <c r="V15" s="77">
        <f t="shared" ref="V15:V18" si="0">IF(H15="","",YEAR(H15))</f>
        <v>2012</v>
      </c>
      <c r="W15" s="84" t="str">
        <f t="shared" ref="W15:W18" si="1">IF(U15="","",U15&amp;"/"&amp;V15)</f>
        <v>6/2012</v>
      </c>
      <c r="X15" s="77">
        <f t="shared" ref="X15:X18" si="2">IF(W15="","",VALUE(W15))</f>
        <v>41061</v>
      </c>
      <c r="Y15" s="77">
        <f t="shared" ref="Y15:Y18" si="3">IF(U15="",0,(VLOOKUP(X15,Q$2:R$203,2,FALSE)))</f>
        <v>65</v>
      </c>
      <c r="Z15" s="77"/>
      <c r="AA15" s="77">
        <f t="shared" ref="AA15:AA18" si="4">ROUND(J15/30*I15,0)</f>
        <v>209347</v>
      </c>
      <c r="AB15" s="77">
        <f t="shared" ref="AB15:AB18" si="5">ROUND(AA15*Y15%,0)</f>
        <v>136076</v>
      </c>
      <c r="AC15" s="77"/>
      <c r="AD15" s="77"/>
      <c r="AE15" s="77" t="str">
        <f>IF(AF15="","",CONCATENATE(AF15,"(",E15,")"))</f>
        <v>9300-34800(3600)</v>
      </c>
      <c r="AF15" s="77" t="str">
        <f t="shared" ref="AF15:AF18" si="6">IF(E15="","",IF(E15&lt;=1650,"4750-7440",IF(E15&lt;=2800,"5200-20200",IF(E15&lt;=5400,"9300-34800",IF(E15&lt;=8200,"15600-39100")))))</f>
        <v>9300-34800</v>
      </c>
      <c r="AG15" s="77"/>
      <c r="AH15" s="77"/>
      <c r="AI15" s="77"/>
      <c r="AJ15" s="77"/>
      <c r="AK15" s="77"/>
    </row>
    <row r="16" spans="1:37" ht="27.75" customHeight="1">
      <c r="A16" s="6"/>
      <c r="B16" s="6"/>
      <c r="C16" s="6"/>
      <c r="D16" s="6"/>
      <c r="E16" s="6"/>
      <c r="F16" s="6"/>
      <c r="G16" s="8"/>
      <c r="H16" s="33"/>
      <c r="I16" s="6"/>
      <c r="J16" s="6"/>
      <c r="L16" s="77"/>
      <c r="M16" s="77"/>
      <c r="N16" s="77"/>
      <c r="O16" s="77"/>
      <c r="P16" s="77"/>
      <c r="Q16" s="81">
        <v>39508</v>
      </c>
      <c r="R16" s="82">
        <v>12</v>
      </c>
      <c r="S16" s="77"/>
      <c r="T16" s="77"/>
      <c r="U16" s="77" t="str">
        <f>IF(H16="","",MONTH(H16))</f>
        <v/>
      </c>
      <c r="V16" s="77" t="str">
        <f t="shared" si="0"/>
        <v/>
      </c>
      <c r="W16" s="84" t="str">
        <f t="shared" si="1"/>
        <v/>
      </c>
      <c r="X16" s="77" t="str">
        <f t="shared" si="2"/>
        <v/>
      </c>
      <c r="Y16" s="77">
        <f t="shared" si="3"/>
        <v>0</v>
      </c>
      <c r="Z16" s="77"/>
      <c r="AA16" s="77">
        <f t="shared" si="4"/>
        <v>0</v>
      </c>
      <c r="AB16" s="77">
        <f t="shared" si="5"/>
        <v>0</v>
      </c>
      <c r="AC16" s="77"/>
      <c r="AD16" s="77"/>
      <c r="AE16" s="77" t="str">
        <f t="shared" ref="AE16:AE18" si="7">IF(AF16="","",CONCATENATE(AF16,"(",E16,")"))</f>
        <v/>
      </c>
      <c r="AF16" s="77" t="str">
        <f t="shared" si="6"/>
        <v/>
      </c>
      <c r="AG16" s="77"/>
      <c r="AH16" s="77"/>
      <c r="AI16" s="77"/>
      <c r="AJ16" s="77"/>
      <c r="AK16" s="77"/>
    </row>
    <row r="17" spans="1:37" ht="27.75" customHeight="1">
      <c r="A17" s="6"/>
      <c r="B17" s="6"/>
      <c r="C17" s="6"/>
      <c r="D17" s="6"/>
      <c r="E17" s="6"/>
      <c r="F17" s="6"/>
      <c r="G17" s="8"/>
      <c r="H17" s="7"/>
      <c r="I17" s="6"/>
      <c r="J17" s="6"/>
      <c r="L17" s="77"/>
      <c r="M17" s="77"/>
      <c r="N17" s="77"/>
      <c r="O17" s="77"/>
      <c r="P17" s="77"/>
      <c r="Q17" s="81">
        <v>39539</v>
      </c>
      <c r="R17" s="82">
        <v>12</v>
      </c>
      <c r="S17" s="77"/>
      <c r="T17" s="77"/>
      <c r="U17" s="77" t="str">
        <f t="shared" ref="U17:U18" si="8">IF(H17="","",MONTH(H17))</f>
        <v/>
      </c>
      <c r="V17" s="77" t="str">
        <f t="shared" si="0"/>
        <v/>
      </c>
      <c r="W17" s="84" t="str">
        <f t="shared" si="1"/>
        <v/>
      </c>
      <c r="X17" s="77" t="str">
        <f t="shared" si="2"/>
        <v/>
      </c>
      <c r="Y17" s="77">
        <f t="shared" si="3"/>
        <v>0</v>
      </c>
      <c r="Z17" s="77"/>
      <c r="AA17" s="77">
        <f t="shared" si="4"/>
        <v>0</v>
      </c>
      <c r="AB17" s="77">
        <f t="shared" si="5"/>
        <v>0</v>
      </c>
      <c r="AC17" s="77"/>
      <c r="AD17" s="77"/>
      <c r="AE17" s="77" t="str">
        <f t="shared" si="7"/>
        <v/>
      </c>
      <c r="AF17" s="77" t="str">
        <f t="shared" si="6"/>
        <v/>
      </c>
      <c r="AG17" s="77"/>
      <c r="AH17" s="77"/>
      <c r="AI17" s="77"/>
      <c r="AJ17" s="77"/>
      <c r="AK17" s="77"/>
    </row>
    <row r="18" spans="1:37" ht="27.75" customHeight="1">
      <c r="A18" s="6"/>
      <c r="B18" s="6"/>
      <c r="C18" s="6"/>
      <c r="D18" s="6"/>
      <c r="E18" s="6"/>
      <c r="F18" s="6"/>
      <c r="G18" s="8"/>
      <c r="H18" s="7"/>
      <c r="I18" s="6"/>
      <c r="J18" s="6"/>
      <c r="L18" s="77"/>
      <c r="M18" s="77"/>
      <c r="N18" s="77"/>
      <c r="O18" s="77"/>
      <c r="P18" s="77"/>
      <c r="Q18" s="81">
        <v>39569</v>
      </c>
      <c r="R18" s="82">
        <v>12</v>
      </c>
      <c r="S18" s="77"/>
      <c r="T18" s="77"/>
      <c r="U18" s="77" t="str">
        <f t="shared" si="8"/>
        <v/>
      </c>
      <c r="V18" s="77" t="str">
        <f t="shared" si="0"/>
        <v/>
      </c>
      <c r="W18" s="84" t="str">
        <f t="shared" si="1"/>
        <v/>
      </c>
      <c r="X18" s="77" t="str">
        <f t="shared" si="2"/>
        <v/>
      </c>
      <c r="Y18" s="77">
        <f t="shared" si="3"/>
        <v>0</v>
      </c>
      <c r="Z18" s="77"/>
      <c r="AA18" s="77">
        <f t="shared" si="4"/>
        <v>0</v>
      </c>
      <c r="AB18" s="77">
        <f t="shared" si="5"/>
        <v>0</v>
      </c>
      <c r="AC18" s="77"/>
      <c r="AD18" s="77"/>
      <c r="AE18" s="77" t="str">
        <f t="shared" si="7"/>
        <v/>
      </c>
      <c r="AF18" s="77" t="str">
        <f t="shared" si="6"/>
        <v/>
      </c>
      <c r="AG18" s="77"/>
      <c r="AH18" s="77"/>
      <c r="AI18" s="77"/>
      <c r="AJ18" s="77"/>
      <c r="AK18" s="77"/>
    </row>
    <row r="19" spans="1:37" ht="21.75" customHeight="1">
      <c r="A19" s="3"/>
      <c r="B19" s="111"/>
      <c r="C19" s="120" t="s">
        <v>89</v>
      </c>
      <c r="D19" s="112"/>
      <c r="E19" s="112"/>
      <c r="F19" s="112"/>
      <c r="G19" s="123" t="s">
        <v>101</v>
      </c>
      <c r="H19" s="3"/>
      <c r="I19" s="3"/>
      <c r="J19" s="3"/>
      <c r="L19" s="77"/>
      <c r="M19" s="77"/>
      <c r="N19" s="77"/>
      <c r="O19" s="77"/>
      <c r="P19" s="77"/>
      <c r="Q19" s="81">
        <v>39600</v>
      </c>
      <c r="R19" s="82">
        <v>12</v>
      </c>
      <c r="S19" s="77"/>
      <c r="T19" s="77"/>
      <c r="U19" s="77"/>
      <c r="V19" s="77"/>
      <c r="W19" s="77"/>
      <c r="X19" s="77"/>
      <c r="Y19" s="77"/>
      <c r="Z19" s="77"/>
      <c r="AA19" s="77"/>
      <c r="AB19" s="77"/>
      <c r="AC19" s="77"/>
      <c r="AD19" s="77"/>
      <c r="AE19" s="77"/>
      <c r="AF19" s="77"/>
      <c r="AG19" s="77"/>
      <c r="AH19" s="77"/>
      <c r="AI19" s="77"/>
      <c r="AJ19" s="77"/>
      <c r="AK19" s="77"/>
    </row>
    <row r="20" spans="1:37" ht="21.75" customHeight="1" thickBot="1">
      <c r="A20" s="3"/>
      <c r="B20" s="111"/>
      <c r="C20" s="111" t="s">
        <v>90</v>
      </c>
      <c r="D20" s="111" t="s">
        <v>91</v>
      </c>
      <c r="E20" s="112"/>
      <c r="F20" s="112"/>
      <c r="G20" s="122">
        <v>41086</v>
      </c>
      <c r="H20" s="3"/>
      <c r="I20" s="3"/>
      <c r="J20" s="3"/>
      <c r="L20" s="77"/>
      <c r="M20" s="77"/>
      <c r="N20" s="77"/>
      <c r="O20" s="77"/>
      <c r="P20" s="77"/>
      <c r="Q20" s="81">
        <v>39630</v>
      </c>
      <c r="R20" s="82">
        <v>16</v>
      </c>
      <c r="S20" s="77"/>
      <c r="T20" s="77"/>
      <c r="U20" s="77"/>
      <c r="V20" s="77"/>
      <c r="W20" s="77"/>
      <c r="X20" s="77"/>
      <c r="Y20" s="77"/>
      <c r="Z20" s="77"/>
      <c r="AA20" s="77">
        <f>SUM(AA14:AA19)</f>
        <v>320447</v>
      </c>
      <c r="AB20" s="77">
        <f>SUM(AB14:AB19)</f>
        <v>208291</v>
      </c>
      <c r="AC20" s="77"/>
      <c r="AD20" s="77"/>
      <c r="AE20" s="77"/>
      <c r="AF20" s="77"/>
      <c r="AG20" s="77"/>
      <c r="AH20" s="77"/>
      <c r="AI20" s="77"/>
      <c r="AJ20" s="77"/>
      <c r="AK20" s="77"/>
    </row>
    <row r="21" spans="1:37" ht="21.75" customHeight="1" thickTop="1" thickBot="1">
      <c r="A21" s="3"/>
      <c r="B21" s="113">
        <v>1</v>
      </c>
      <c r="C21" s="121">
        <v>41091</v>
      </c>
      <c r="D21" s="114">
        <v>65</v>
      </c>
      <c r="E21" s="118" t="s">
        <v>92</v>
      </c>
      <c r="F21" s="112"/>
      <c r="G21" s="3"/>
      <c r="H21" s="3"/>
      <c r="I21" s="3"/>
      <c r="J21" s="3"/>
      <c r="L21" s="77"/>
      <c r="M21" s="77"/>
      <c r="N21" s="77"/>
      <c r="O21" s="77"/>
      <c r="P21" s="77"/>
      <c r="Q21" s="81">
        <v>39661</v>
      </c>
      <c r="R21" s="82">
        <v>16</v>
      </c>
      <c r="S21" s="77"/>
      <c r="T21" s="77"/>
      <c r="U21" s="77"/>
      <c r="V21" s="77"/>
      <c r="W21" s="77"/>
      <c r="X21" s="77"/>
      <c r="Y21" s="77"/>
      <c r="Z21" s="77"/>
      <c r="AA21" s="77"/>
      <c r="AB21" s="77"/>
      <c r="AC21" s="77"/>
      <c r="AD21" s="77"/>
      <c r="AE21" s="77"/>
      <c r="AF21" s="77"/>
      <c r="AG21" s="77"/>
      <c r="AH21" s="77"/>
      <c r="AI21" s="77"/>
      <c r="AJ21" s="77"/>
      <c r="AK21" s="77"/>
    </row>
    <row r="22" spans="1:37" ht="20.25" thickTop="1" thickBot="1">
      <c r="A22" s="3"/>
      <c r="B22" s="113">
        <v>2</v>
      </c>
      <c r="C22" s="121"/>
      <c r="D22" s="115"/>
      <c r="E22" s="118" t="s">
        <v>98</v>
      </c>
      <c r="F22" s="112"/>
      <c r="G22" s="3"/>
      <c r="H22" s="3"/>
      <c r="I22" s="3"/>
      <c r="J22" s="3"/>
      <c r="L22" s="77"/>
      <c r="M22" s="77"/>
      <c r="N22" s="77"/>
      <c r="O22" s="77"/>
      <c r="P22" s="77"/>
      <c r="Q22" s="81">
        <v>39692</v>
      </c>
      <c r="R22" s="82">
        <v>16</v>
      </c>
      <c r="S22" s="77"/>
      <c r="T22" s="77"/>
      <c r="U22" s="77"/>
      <c r="V22" s="77"/>
      <c r="W22" s="77"/>
      <c r="X22" s="77"/>
      <c r="Y22" s="77"/>
      <c r="Z22" s="77"/>
      <c r="AA22" s="77"/>
      <c r="AB22" s="77"/>
      <c r="AC22" s="77"/>
      <c r="AD22" s="77"/>
      <c r="AE22" s="77"/>
      <c r="AF22" s="77"/>
      <c r="AG22" s="77"/>
      <c r="AH22" s="77"/>
      <c r="AI22" s="77"/>
      <c r="AJ22" s="77"/>
      <c r="AK22" s="77"/>
    </row>
    <row r="23" spans="1:37" ht="20.25" thickTop="1" thickBot="1">
      <c r="A23" s="3"/>
      <c r="B23" s="113">
        <v>3</v>
      </c>
      <c r="C23" s="121"/>
      <c r="D23" s="116"/>
      <c r="E23" s="118" t="s">
        <v>96</v>
      </c>
      <c r="F23" s="112"/>
      <c r="G23" s="3"/>
      <c r="H23" s="3"/>
      <c r="I23" s="3"/>
      <c r="J23" s="3"/>
      <c r="L23" s="77"/>
      <c r="M23" s="77"/>
      <c r="N23" s="77"/>
      <c r="O23" s="77"/>
      <c r="P23" s="77"/>
      <c r="Q23" s="81">
        <v>39722</v>
      </c>
      <c r="R23" s="82">
        <v>16</v>
      </c>
      <c r="S23" s="77"/>
      <c r="T23" s="77"/>
      <c r="U23" s="77"/>
      <c r="V23" s="77"/>
      <c r="W23" s="77"/>
      <c r="X23" s="77"/>
      <c r="Y23" s="77"/>
      <c r="Z23" s="77"/>
      <c r="AA23" s="77"/>
      <c r="AB23" s="77"/>
      <c r="AC23" s="77"/>
      <c r="AD23" s="77"/>
      <c r="AE23" s="77"/>
      <c r="AF23" s="77"/>
      <c r="AG23" s="77"/>
      <c r="AH23" s="77"/>
      <c r="AI23" s="77"/>
      <c r="AJ23" s="77"/>
      <c r="AK23" s="77"/>
    </row>
    <row r="24" spans="1:37" ht="20.25" thickTop="1" thickBot="1">
      <c r="B24" s="113">
        <v>4</v>
      </c>
      <c r="C24" s="121"/>
      <c r="D24" s="116"/>
      <c r="E24" s="118" t="s">
        <v>97</v>
      </c>
      <c r="F24" s="112"/>
      <c r="L24" s="77"/>
      <c r="M24" s="77"/>
      <c r="N24" s="77"/>
      <c r="O24" s="77"/>
      <c r="P24" s="77"/>
      <c r="Q24" s="81">
        <v>39753</v>
      </c>
      <c r="R24" s="82">
        <v>16</v>
      </c>
      <c r="S24" s="77"/>
      <c r="T24" s="77"/>
      <c r="U24" s="77"/>
      <c r="V24" s="77"/>
      <c r="W24" s="77"/>
      <c r="X24" s="77"/>
      <c r="Y24" s="77"/>
      <c r="Z24" s="77"/>
      <c r="AA24" s="77"/>
      <c r="AB24" s="77"/>
      <c r="AC24" s="77"/>
      <c r="AD24" s="77"/>
      <c r="AE24" s="77"/>
      <c r="AF24" s="77"/>
      <c r="AG24" s="77"/>
      <c r="AH24" s="77"/>
      <c r="AI24" s="77"/>
      <c r="AJ24" s="77"/>
      <c r="AK24" s="77"/>
    </row>
    <row r="25" spans="1:37" ht="20.25" thickTop="1" thickBot="1">
      <c r="B25" s="113">
        <v>5</v>
      </c>
      <c r="C25" s="121"/>
      <c r="D25" s="116"/>
      <c r="E25" s="118" t="s">
        <v>94</v>
      </c>
      <c r="F25" s="112"/>
      <c r="L25" s="77"/>
      <c r="M25" s="77"/>
      <c r="N25" s="77"/>
      <c r="O25" s="77"/>
      <c r="P25" s="77"/>
      <c r="Q25" s="81">
        <v>39783</v>
      </c>
      <c r="R25" s="82">
        <v>16</v>
      </c>
      <c r="S25" s="77"/>
      <c r="T25" s="77"/>
      <c r="U25" s="77"/>
      <c r="V25" s="77"/>
      <c r="W25" s="77"/>
      <c r="X25" s="77"/>
      <c r="Y25" s="77"/>
      <c r="Z25" s="77"/>
      <c r="AA25" s="77"/>
      <c r="AB25" s="77"/>
      <c r="AC25" s="77"/>
      <c r="AD25" s="77"/>
      <c r="AE25" s="77"/>
      <c r="AF25" s="77"/>
      <c r="AG25" s="77"/>
      <c r="AH25" s="77"/>
      <c r="AI25" s="77"/>
      <c r="AJ25" s="77"/>
      <c r="AK25" s="77"/>
    </row>
    <row r="26" spans="1:37" ht="20.25" thickTop="1" thickBot="1">
      <c r="B26" s="113">
        <v>6</v>
      </c>
      <c r="C26" s="121"/>
      <c r="D26" s="115"/>
      <c r="E26" s="118" t="s">
        <v>95</v>
      </c>
      <c r="F26" s="112"/>
      <c r="L26" s="77"/>
      <c r="M26" s="77"/>
      <c r="N26" s="77"/>
      <c r="O26" s="77"/>
      <c r="P26" s="77"/>
      <c r="Q26" s="81">
        <v>39814</v>
      </c>
      <c r="R26" s="82">
        <v>22</v>
      </c>
      <c r="S26" s="77"/>
      <c r="T26" s="77"/>
      <c r="U26" s="77"/>
      <c r="V26" s="77"/>
      <c r="W26" s="77"/>
      <c r="X26" s="77"/>
      <c r="Y26" s="77"/>
      <c r="Z26" s="77"/>
      <c r="AA26" s="77"/>
      <c r="AB26" s="77"/>
      <c r="AC26" s="77"/>
      <c r="AD26" s="77"/>
      <c r="AE26" s="77"/>
      <c r="AF26" s="77"/>
      <c r="AG26" s="77"/>
      <c r="AH26" s="77"/>
      <c r="AI26" s="77"/>
      <c r="AJ26" s="77"/>
      <c r="AK26" s="77"/>
    </row>
    <row r="27" spans="1:37" ht="20.25" thickTop="1" thickBot="1">
      <c r="B27" s="113">
        <v>7</v>
      </c>
      <c r="C27" s="121"/>
      <c r="D27" s="116"/>
      <c r="E27" s="118"/>
      <c r="F27" s="112"/>
      <c r="L27" s="77"/>
      <c r="M27" s="77"/>
      <c r="N27" s="77"/>
      <c r="O27" s="77"/>
      <c r="P27" s="77"/>
      <c r="Q27" s="81">
        <v>39845</v>
      </c>
      <c r="R27" s="82">
        <v>22</v>
      </c>
      <c r="S27" s="77"/>
      <c r="T27" s="77"/>
      <c r="U27" s="77"/>
      <c r="V27" s="77"/>
      <c r="W27" s="77"/>
      <c r="X27" s="77"/>
      <c r="Y27" s="77"/>
      <c r="Z27" s="77"/>
      <c r="AA27" s="77"/>
      <c r="AB27" s="77"/>
      <c r="AC27" s="77"/>
      <c r="AD27" s="77"/>
      <c r="AE27" s="77"/>
      <c r="AF27" s="77"/>
      <c r="AG27" s="77"/>
      <c r="AH27" s="77"/>
      <c r="AI27" s="77"/>
      <c r="AJ27" s="77"/>
      <c r="AK27" s="77"/>
    </row>
    <row r="28" spans="1:37" ht="20.25" thickTop="1" thickBot="1">
      <c r="B28" s="113">
        <v>8</v>
      </c>
      <c r="C28" s="121"/>
      <c r="D28" s="116"/>
      <c r="E28" s="118"/>
      <c r="F28" s="112"/>
      <c r="L28" s="77"/>
      <c r="M28" s="77"/>
      <c r="N28" s="77"/>
      <c r="O28" s="77"/>
      <c r="P28" s="77"/>
      <c r="Q28" s="81">
        <v>39873</v>
      </c>
      <c r="R28" s="82">
        <v>22</v>
      </c>
      <c r="S28" s="77"/>
      <c r="T28" s="77"/>
      <c r="U28" s="77"/>
      <c r="V28" s="77"/>
      <c r="W28" s="77"/>
      <c r="X28" s="77"/>
      <c r="Y28" s="77"/>
      <c r="Z28" s="77"/>
      <c r="AA28" s="77"/>
      <c r="AB28" s="77"/>
      <c r="AC28" s="77"/>
      <c r="AD28" s="77"/>
      <c r="AE28" s="77"/>
      <c r="AF28" s="77"/>
      <c r="AG28" s="77"/>
      <c r="AH28" s="77"/>
      <c r="AI28" s="77"/>
      <c r="AJ28" s="77"/>
      <c r="AK28" s="77"/>
    </row>
    <row r="29" spans="1:37" ht="20.25" thickTop="1" thickBot="1">
      <c r="B29" s="113">
        <v>9</v>
      </c>
      <c r="C29" s="121"/>
      <c r="D29" s="117"/>
      <c r="E29" s="118"/>
      <c r="F29" s="112"/>
      <c r="L29" s="77"/>
      <c r="M29" s="77"/>
      <c r="N29" s="77"/>
      <c r="O29" s="77"/>
      <c r="P29" s="77"/>
      <c r="Q29" s="81">
        <v>39904</v>
      </c>
      <c r="R29" s="82">
        <v>22</v>
      </c>
      <c r="S29" s="77"/>
      <c r="T29" s="77"/>
      <c r="U29" s="77"/>
      <c r="V29" s="77"/>
      <c r="W29" s="77"/>
      <c r="X29" s="77"/>
      <c r="Y29" s="77"/>
      <c r="Z29" s="77"/>
      <c r="AA29" s="77"/>
      <c r="AB29" s="77"/>
      <c r="AC29" s="77"/>
      <c r="AD29" s="77"/>
      <c r="AE29" s="77"/>
      <c r="AF29" s="77"/>
      <c r="AG29" s="77"/>
      <c r="AH29" s="77"/>
      <c r="AI29" s="77"/>
      <c r="AJ29" s="77"/>
      <c r="AK29" s="77"/>
    </row>
    <row r="30" spans="1:37" ht="20.25" thickTop="1" thickBot="1">
      <c r="B30" s="111">
        <v>10</v>
      </c>
      <c r="C30" s="121"/>
      <c r="D30" s="117"/>
      <c r="E30" s="111"/>
      <c r="F30" s="112"/>
      <c r="L30" s="77"/>
      <c r="M30" s="77"/>
      <c r="N30" s="77"/>
      <c r="O30" s="77"/>
      <c r="P30" s="77"/>
      <c r="Q30" s="81">
        <v>39934</v>
      </c>
      <c r="R30" s="82">
        <v>22</v>
      </c>
      <c r="S30" s="77"/>
      <c r="T30" s="77"/>
      <c r="U30" s="77"/>
      <c r="V30" s="77"/>
      <c r="W30" s="77"/>
      <c r="X30" s="77"/>
      <c r="Y30" s="77"/>
      <c r="Z30" s="77"/>
      <c r="AA30" s="77"/>
      <c r="AB30" s="77"/>
      <c r="AC30" s="77"/>
      <c r="AD30" s="77"/>
      <c r="AE30" s="77"/>
      <c r="AF30" s="77"/>
      <c r="AG30" s="77"/>
      <c r="AH30" s="77"/>
      <c r="AI30" s="77"/>
      <c r="AJ30" s="77"/>
      <c r="AK30" s="77"/>
    </row>
    <row r="31" spans="1:37" ht="15.75" thickTop="1">
      <c r="L31" s="77"/>
      <c r="M31" s="77"/>
      <c r="N31" s="77"/>
      <c r="O31" s="77"/>
      <c r="P31" s="77"/>
      <c r="Q31" s="81">
        <v>39965</v>
      </c>
      <c r="R31" s="82">
        <v>22</v>
      </c>
      <c r="S31" s="77"/>
      <c r="T31" s="77"/>
      <c r="U31" s="77"/>
      <c r="V31" s="77"/>
      <c r="W31" s="77"/>
      <c r="X31" s="77"/>
      <c r="Y31" s="77"/>
      <c r="Z31" s="77"/>
      <c r="AA31" s="77"/>
      <c r="AB31" s="77"/>
      <c r="AC31" s="77"/>
      <c r="AD31" s="77"/>
      <c r="AE31" s="77"/>
      <c r="AF31" s="77"/>
      <c r="AG31" s="77"/>
      <c r="AH31" s="77"/>
      <c r="AI31" s="77"/>
      <c r="AJ31" s="77"/>
      <c r="AK31" s="77"/>
    </row>
    <row r="32" spans="1:37">
      <c r="L32" s="77"/>
      <c r="M32" s="77"/>
      <c r="N32" s="77"/>
      <c r="O32" s="77"/>
      <c r="P32" s="77"/>
      <c r="Q32" s="81">
        <v>39995</v>
      </c>
      <c r="R32" s="82">
        <v>27</v>
      </c>
      <c r="S32" s="77"/>
      <c r="T32" s="77"/>
      <c r="U32" s="77"/>
      <c r="V32" s="77"/>
      <c r="W32" s="77"/>
      <c r="X32" s="77"/>
      <c r="Y32" s="77"/>
      <c r="Z32" s="77"/>
      <c r="AA32" s="77"/>
      <c r="AB32" s="77"/>
      <c r="AC32" s="77"/>
      <c r="AD32" s="77"/>
      <c r="AE32" s="77"/>
      <c r="AF32" s="77"/>
      <c r="AG32" s="77"/>
      <c r="AH32" s="77"/>
      <c r="AI32" s="77"/>
      <c r="AJ32" s="77"/>
      <c r="AK32" s="77"/>
    </row>
    <row r="33" spans="12:37">
      <c r="L33" s="77"/>
      <c r="M33" s="77"/>
      <c r="N33" s="77"/>
      <c r="O33" s="77"/>
      <c r="P33" s="77"/>
      <c r="Q33" s="81">
        <v>40026</v>
      </c>
      <c r="R33" s="82">
        <v>27</v>
      </c>
      <c r="S33" s="77"/>
      <c r="T33" s="77"/>
      <c r="U33" s="77"/>
      <c r="V33" s="77"/>
      <c r="W33" s="77"/>
      <c r="X33" s="77"/>
      <c r="Y33" s="77"/>
      <c r="Z33" s="77"/>
      <c r="AA33" s="77"/>
      <c r="AB33" s="77"/>
      <c r="AC33" s="77"/>
      <c r="AD33" s="77"/>
      <c r="AE33" s="77"/>
      <c r="AF33" s="77"/>
      <c r="AG33" s="77"/>
      <c r="AH33" s="77"/>
      <c r="AI33" s="77"/>
      <c r="AJ33" s="77"/>
      <c r="AK33" s="77"/>
    </row>
    <row r="34" spans="12:37">
      <c r="L34" s="77"/>
      <c r="M34" s="77"/>
      <c r="N34" s="77"/>
      <c r="O34" s="77"/>
      <c r="P34" s="77"/>
      <c r="Q34" s="81">
        <v>40057</v>
      </c>
      <c r="R34" s="82">
        <v>27</v>
      </c>
      <c r="S34" s="77"/>
      <c r="T34" s="77"/>
      <c r="U34" s="77"/>
      <c r="V34" s="77"/>
      <c r="W34" s="77"/>
      <c r="X34" s="77"/>
      <c r="Y34" s="77"/>
      <c r="Z34" s="77"/>
      <c r="AA34" s="77"/>
      <c r="AB34" s="77"/>
      <c r="AC34" s="77"/>
      <c r="AD34" s="77"/>
      <c r="AE34" s="77"/>
      <c r="AF34" s="77"/>
      <c r="AG34" s="77"/>
      <c r="AH34" s="77"/>
      <c r="AI34" s="77"/>
      <c r="AJ34" s="77"/>
      <c r="AK34" s="77"/>
    </row>
    <row r="35" spans="12:37">
      <c r="L35" s="77"/>
      <c r="M35" s="77"/>
      <c r="N35" s="77"/>
      <c r="O35" s="77"/>
      <c r="P35" s="77"/>
      <c r="Q35" s="81">
        <v>40087</v>
      </c>
      <c r="R35" s="82">
        <v>27</v>
      </c>
      <c r="S35" s="77"/>
      <c r="T35" s="77"/>
      <c r="U35" s="77"/>
      <c r="V35" s="77"/>
      <c r="W35" s="77"/>
      <c r="X35" s="77"/>
      <c r="Y35" s="77"/>
      <c r="Z35" s="77"/>
      <c r="AA35" s="77"/>
      <c r="AB35" s="77"/>
      <c r="AC35" s="77"/>
      <c r="AD35" s="77"/>
      <c r="AE35" s="77"/>
      <c r="AF35" s="77"/>
      <c r="AG35" s="77"/>
      <c r="AH35" s="77"/>
      <c r="AI35" s="77"/>
      <c r="AJ35" s="77"/>
      <c r="AK35" s="77"/>
    </row>
    <row r="36" spans="12:37">
      <c r="L36" s="77"/>
      <c r="M36" s="77"/>
      <c r="N36" s="77"/>
      <c r="O36" s="77"/>
      <c r="P36" s="77"/>
      <c r="Q36" s="81">
        <v>40118</v>
      </c>
      <c r="R36" s="82">
        <v>27</v>
      </c>
      <c r="S36" s="77"/>
      <c r="T36" s="77"/>
      <c r="U36" s="77"/>
      <c r="V36" s="77"/>
      <c r="W36" s="77"/>
      <c r="X36" s="77"/>
      <c r="Y36" s="77"/>
      <c r="Z36" s="77"/>
      <c r="AA36" s="77"/>
      <c r="AB36" s="77"/>
      <c r="AC36" s="77"/>
      <c r="AD36" s="77"/>
      <c r="AE36" s="77"/>
      <c r="AF36" s="77"/>
      <c r="AG36" s="77"/>
      <c r="AH36" s="77"/>
      <c r="AI36" s="77"/>
      <c r="AJ36" s="77"/>
      <c r="AK36" s="77"/>
    </row>
    <row r="37" spans="12:37">
      <c r="L37" s="77"/>
      <c r="M37" s="77"/>
      <c r="N37" s="77"/>
      <c r="O37" s="77"/>
      <c r="P37" s="77"/>
      <c r="Q37" s="81">
        <v>40148</v>
      </c>
      <c r="R37" s="82">
        <v>27</v>
      </c>
      <c r="S37" s="77"/>
      <c r="T37" s="77"/>
      <c r="U37" s="77"/>
      <c r="V37" s="77"/>
      <c r="W37" s="77"/>
      <c r="X37" s="77"/>
      <c r="Y37" s="77"/>
      <c r="Z37" s="77"/>
      <c r="AA37" s="77"/>
      <c r="AB37" s="77"/>
      <c r="AC37" s="77"/>
      <c r="AD37" s="77"/>
      <c r="AE37" s="77"/>
      <c r="AF37" s="77"/>
      <c r="AG37" s="77"/>
      <c r="AH37" s="77"/>
      <c r="AI37" s="77"/>
      <c r="AJ37" s="77"/>
      <c r="AK37" s="77"/>
    </row>
    <row r="38" spans="12:37">
      <c r="L38" s="77"/>
      <c r="M38" s="77"/>
      <c r="N38" s="77"/>
      <c r="O38" s="77"/>
      <c r="P38" s="77"/>
      <c r="Q38" s="81">
        <v>40179</v>
      </c>
      <c r="R38" s="82">
        <v>35</v>
      </c>
      <c r="S38" s="77"/>
      <c r="T38" s="77"/>
      <c r="U38" s="77"/>
      <c r="V38" s="77"/>
      <c r="W38" s="77"/>
      <c r="X38" s="77"/>
      <c r="Y38" s="77"/>
      <c r="Z38" s="77"/>
      <c r="AA38" s="77"/>
      <c r="AB38" s="77"/>
      <c r="AC38" s="77"/>
      <c r="AD38" s="77"/>
      <c r="AE38" s="77"/>
      <c r="AF38" s="77"/>
      <c r="AG38" s="77"/>
      <c r="AH38" s="77"/>
      <c r="AI38" s="77"/>
      <c r="AJ38" s="77"/>
      <c r="AK38" s="77"/>
    </row>
    <row r="39" spans="12:37">
      <c r="L39" s="77"/>
      <c r="M39" s="77"/>
      <c r="N39" s="77"/>
      <c r="O39" s="77"/>
      <c r="P39" s="77"/>
      <c r="Q39" s="81">
        <v>40210</v>
      </c>
      <c r="R39" s="82">
        <v>35</v>
      </c>
      <c r="S39" s="77"/>
      <c r="T39" s="77"/>
      <c r="U39" s="77"/>
      <c r="V39" s="77"/>
      <c r="W39" s="77"/>
      <c r="X39" s="77"/>
      <c r="Y39" s="77"/>
      <c r="Z39" s="77"/>
      <c r="AA39" s="77"/>
      <c r="AB39" s="77"/>
      <c r="AC39" s="77"/>
      <c r="AD39" s="77"/>
      <c r="AE39" s="77"/>
      <c r="AF39" s="77"/>
      <c r="AG39" s="77"/>
      <c r="AH39" s="77"/>
      <c r="AI39" s="77"/>
      <c r="AJ39" s="77"/>
      <c r="AK39" s="77"/>
    </row>
    <row r="40" spans="12:37">
      <c r="L40" s="77"/>
      <c r="M40" s="77"/>
      <c r="N40" s="77"/>
      <c r="O40" s="77"/>
      <c r="P40" s="77"/>
      <c r="Q40" s="81">
        <v>40238</v>
      </c>
      <c r="R40" s="82">
        <v>35</v>
      </c>
      <c r="S40" s="77"/>
      <c r="T40" s="77"/>
      <c r="U40" s="77"/>
      <c r="V40" s="77"/>
      <c r="W40" s="77"/>
      <c r="X40" s="77"/>
      <c r="Y40" s="77"/>
      <c r="Z40" s="77"/>
      <c r="AA40" s="77"/>
      <c r="AB40" s="77"/>
      <c r="AC40" s="77"/>
      <c r="AD40" s="77"/>
      <c r="AE40" s="77"/>
      <c r="AF40" s="77"/>
      <c r="AG40" s="77"/>
      <c r="AH40" s="77"/>
      <c r="AI40" s="77"/>
      <c r="AJ40" s="77"/>
      <c r="AK40" s="77"/>
    </row>
    <row r="41" spans="12:37">
      <c r="L41" s="77"/>
      <c r="M41" s="77"/>
      <c r="N41" s="77"/>
      <c r="O41" s="77"/>
      <c r="P41" s="77"/>
      <c r="Q41" s="81">
        <v>40269</v>
      </c>
      <c r="R41" s="82">
        <v>35</v>
      </c>
      <c r="S41" s="77"/>
      <c r="T41" s="77"/>
      <c r="U41" s="77"/>
      <c r="V41" s="77"/>
      <c r="W41" s="77"/>
      <c r="X41" s="77"/>
      <c r="Y41" s="77"/>
      <c r="Z41" s="77"/>
      <c r="AA41" s="77"/>
      <c r="AB41" s="77"/>
      <c r="AC41" s="77"/>
      <c r="AD41" s="77"/>
      <c r="AE41" s="77"/>
      <c r="AF41" s="77"/>
      <c r="AG41" s="77"/>
      <c r="AH41" s="77"/>
      <c r="AI41" s="77"/>
      <c r="AJ41" s="77"/>
      <c r="AK41" s="77"/>
    </row>
    <row r="42" spans="12:37">
      <c r="L42" s="77"/>
      <c r="M42" s="77"/>
      <c r="N42" s="77"/>
      <c r="O42" s="77"/>
      <c r="P42" s="77"/>
      <c r="Q42" s="81">
        <v>40299</v>
      </c>
      <c r="R42" s="82">
        <v>35</v>
      </c>
      <c r="S42" s="77"/>
      <c r="T42" s="77"/>
      <c r="U42" s="77"/>
      <c r="V42" s="77"/>
      <c r="W42" s="77"/>
      <c r="X42" s="77"/>
      <c r="Y42" s="77"/>
      <c r="Z42" s="77"/>
      <c r="AA42" s="77"/>
      <c r="AB42" s="77"/>
      <c r="AC42" s="77"/>
      <c r="AD42" s="77"/>
      <c r="AE42" s="77"/>
      <c r="AF42" s="77"/>
      <c r="AG42" s="77"/>
      <c r="AH42" s="77"/>
      <c r="AI42" s="77"/>
      <c r="AJ42" s="77"/>
      <c r="AK42" s="77"/>
    </row>
    <row r="43" spans="12:37">
      <c r="L43" s="77"/>
      <c r="M43" s="77"/>
      <c r="N43" s="77"/>
      <c r="O43" s="77"/>
      <c r="P43" s="77"/>
      <c r="Q43" s="81">
        <v>40330</v>
      </c>
      <c r="R43" s="82">
        <v>35</v>
      </c>
      <c r="S43" s="77"/>
      <c r="T43" s="77"/>
      <c r="U43" s="77"/>
      <c r="V43" s="77"/>
      <c r="W43" s="77"/>
      <c r="X43" s="77"/>
      <c r="Y43" s="77"/>
      <c r="Z43" s="77"/>
      <c r="AA43" s="77"/>
      <c r="AB43" s="77"/>
      <c r="AC43" s="77"/>
      <c r="AD43" s="77"/>
      <c r="AE43" s="77"/>
      <c r="AF43" s="77"/>
      <c r="AG43" s="77"/>
      <c r="AH43" s="77"/>
      <c r="AI43" s="77"/>
      <c r="AJ43" s="77"/>
      <c r="AK43" s="77"/>
    </row>
    <row r="44" spans="12:37">
      <c r="L44" s="77"/>
      <c r="M44" s="77"/>
      <c r="N44" s="77"/>
      <c r="O44" s="77"/>
      <c r="P44" s="77"/>
      <c r="Q44" s="81">
        <v>40360</v>
      </c>
      <c r="R44" s="82">
        <v>45</v>
      </c>
      <c r="S44" s="77"/>
      <c r="T44" s="77"/>
      <c r="U44" s="77"/>
      <c r="V44" s="77"/>
      <c r="W44" s="77"/>
      <c r="X44" s="77"/>
      <c r="Y44" s="77"/>
      <c r="Z44" s="77"/>
      <c r="AA44" s="77"/>
      <c r="AB44" s="77"/>
      <c r="AC44" s="77"/>
      <c r="AD44" s="77"/>
      <c r="AE44" s="77"/>
      <c r="AF44" s="77"/>
      <c r="AG44" s="77"/>
      <c r="AH44" s="77"/>
      <c r="AI44" s="77"/>
      <c r="AJ44" s="77"/>
      <c r="AK44" s="77"/>
    </row>
    <row r="45" spans="12:37">
      <c r="L45" s="77"/>
      <c r="M45" s="77"/>
      <c r="N45" s="77"/>
      <c r="O45" s="77"/>
      <c r="P45" s="77"/>
      <c r="Q45" s="81">
        <v>40391</v>
      </c>
      <c r="R45" s="82">
        <v>45</v>
      </c>
      <c r="S45" s="77"/>
      <c r="T45" s="77"/>
      <c r="U45" s="77"/>
      <c r="V45" s="77"/>
      <c r="W45" s="77"/>
      <c r="X45" s="77"/>
      <c r="Y45" s="77"/>
      <c r="Z45" s="77"/>
      <c r="AA45" s="77"/>
      <c r="AB45" s="77"/>
      <c r="AC45" s="77"/>
      <c r="AD45" s="77"/>
      <c r="AE45" s="77"/>
      <c r="AF45" s="77"/>
      <c r="AG45" s="77"/>
      <c r="AH45" s="77"/>
      <c r="AI45" s="77"/>
      <c r="AJ45" s="77"/>
      <c r="AK45" s="77"/>
    </row>
    <row r="46" spans="12:37">
      <c r="L46" s="77"/>
      <c r="M46" s="77"/>
      <c r="N46" s="77"/>
      <c r="O46" s="77"/>
      <c r="P46" s="77"/>
      <c r="Q46" s="81">
        <v>40422</v>
      </c>
      <c r="R46" s="82">
        <v>45</v>
      </c>
      <c r="S46" s="77"/>
      <c r="T46" s="77"/>
      <c r="U46" s="77"/>
      <c r="V46" s="77"/>
      <c r="W46" s="77"/>
      <c r="X46" s="77"/>
      <c r="Y46" s="77"/>
      <c r="Z46" s="77"/>
      <c r="AA46" s="77"/>
      <c r="AB46" s="77"/>
      <c r="AC46" s="77"/>
      <c r="AD46" s="77"/>
      <c r="AE46" s="77"/>
      <c r="AF46" s="77"/>
      <c r="AG46" s="77"/>
      <c r="AH46" s="77"/>
      <c r="AI46" s="77"/>
      <c r="AJ46" s="77"/>
      <c r="AK46" s="77"/>
    </row>
    <row r="47" spans="12:37">
      <c r="L47" s="77"/>
      <c r="M47" s="77"/>
      <c r="N47" s="77"/>
      <c r="O47" s="77"/>
      <c r="P47" s="77"/>
      <c r="Q47" s="81">
        <v>40452</v>
      </c>
      <c r="R47" s="82">
        <v>45</v>
      </c>
      <c r="S47" s="77"/>
      <c r="T47" s="77"/>
      <c r="U47" s="77"/>
      <c r="V47" s="77"/>
      <c r="W47" s="77"/>
      <c r="X47" s="77"/>
      <c r="Y47" s="77"/>
      <c r="Z47" s="77"/>
      <c r="AA47" s="77"/>
      <c r="AB47" s="77"/>
      <c r="AC47" s="77"/>
      <c r="AD47" s="77"/>
      <c r="AE47" s="77"/>
      <c r="AF47" s="77"/>
      <c r="AG47" s="77"/>
      <c r="AH47" s="77"/>
      <c r="AI47" s="77"/>
      <c r="AJ47" s="77"/>
      <c r="AK47" s="77"/>
    </row>
    <row r="48" spans="12:37">
      <c r="L48" s="77"/>
      <c r="M48" s="77"/>
      <c r="N48" s="77"/>
      <c r="O48" s="77"/>
      <c r="P48" s="77"/>
      <c r="Q48" s="81">
        <v>40483</v>
      </c>
      <c r="R48" s="82">
        <v>45</v>
      </c>
      <c r="S48" s="77"/>
      <c r="T48" s="77"/>
      <c r="U48" s="77"/>
      <c r="V48" s="77"/>
      <c r="W48" s="77"/>
      <c r="X48" s="77"/>
      <c r="Y48" s="77"/>
      <c r="Z48" s="77"/>
      <c r="AA48" s="77"/>
      <c r="AB48" s="77"/>
      <c r="AC48" s="77"/>
      <c r="AD48" s="77"/>
      <c r="AE48" s="77"/>
      <c r="AF48" s="77"/>
      <c r="AG48" s="77"/>
      <c r="AH48" s="77"/>
      <c r="AI48" s="77"/>
      <c r="AJ48" s="77"/>
      <c r="AK48" s="77"/>
    </row>
    <row r="49" spans="12:37">
      <c r="L49" s="77"/>
      <c r="M49" s="77"/>
      <c r="N49" s="77"/>
      <c r="O49" s="77"/>
      <c r="P49" s="77"/>
      <c r="Q49" s="81">
        <v>40513</v>
      </c>
      <c r="R49" s="82">
        <v>45</v>
      </c>
      <c r="S49" s="77"/>
      <c r="T49" s="77"/>
      <c r="U49" s="77"/>
      <c r="V49" s="77"/>
      <c r="W49" s="77"/>
      <c r="X49" s="77"/>
      <c r="Y49" s="77"/>
      <c r="Z49" s="77"/>
      <c r="AA49" s="77"/>
      <c r="AB49" s="77"/>
      <c r="AC49" s="77"/>
      <c r="AD49" s="77"/>
      <c r="AE49" s="77"/>
      <c r="AF49" s="77"/>
      <c r="AG49" s="77"/>
      <c r="AH49" s="77"/>
      <c r="AI49" s="77"/>
      <c r="AJ49" s="77"/>
      <c r="AK49" s="77"/>
    </row>
    <row r="50" spans="12:37">
      <c r="L50" s="77"/>
      <c r="M50" s="77"/>
      <c r="N50" s="77"/>
      <c r="O50" s="77"/>
      <c r="P50" s="77"/>
      <c r="Q50" s="81">
        <v>40544</v>
      </c>
      <c r="R50" s="82">
        <v>51</v>
      </c>
      <c r="S50" s="77"/>
      <c r="T50" s="77"/>
      <c r="U50" s="77"/>
      <c r="V50" s="77"/>
      <c r="W50" s="77"/>
      <c r="X50" s="77"/>
      <c r="Y50" s="77"/>
      <c r="Z50" s="77"/>
      <c r="AA50" s="77"/>
      <c r="AB50" s="77"/>
      <c r="AC50" s="77"/>
      <c r="AD50" s="77"/>
      <c r="AE50" s="77"/>
      <c r="AF50" s="77"/>
      <c r="AG50" s="77"/>
      <c r="AH50" s="77"/>
      <c r="AI50" s="77"/>
      <c r="AJ50" s="77"/>
      <c r="AK50" s="77"/>
    </row>
    <row r="51" spans="12:37">
      <c r="L51" s="77"/>
      <c r="M51" s="77"/>
      <c r="N51" s="77"/>
      <c r="O51" s="77"/>
      <c r="P51" s="77"/>
      <c r="Q51" s="81">
        <v>40575</v>
      </c>
      <c r="R51" s="82">
        <v>51</v>
      </c>
      <c r="S51" s="77"/>
      <c r="T51" s="77"/>
      <c r="U51" s="77"/>
      <c r="V51" s="77"/>
      <c r="W51" s="77"/>
      <c r="X51" s="77"/>
      <c r="Y51" s="77"/>
      <c r="Z51" s="77"/>
      <c r="AA51" s="77"/>
      <c r="AB51" s="77"/>
      <c r="AC51" s="77"/>
      <c r="AD51" s="77"/>
      <c r="AE51" s="77"/>
      <c r="AF51" s="77"/>
      <c r="AG51" s="77"/>
      <c r="AH51" s="77"/>
      <c r="AI51" s="77"/>
      <c r="AJ51" s="77"/>
      <c r="AK51" s="77"/>
    </row>
    <row r="52" spans="12:37">
      <c r="L52" s="77"/>
      <c r="M52" s="77"/>
      <c r="N52" s="77"/>
      <c r="O52" s="77"/>
      <c r="P52" s="77"/>
      <c r="Q52" s="81">
        <v>40603</v>
      </c>
      <c r="R52" s="82">
        <v>51</v>
      </c>
      <c r="S52" s="77"/>
      <c r="T52" s="77"/>
      <c r="U52" s="77"/>
      <c r="V52" s="77"/>
      <c r="W52" s="77"/>
      <c r="X52" s="77"/>
      <c r="Y52" s="77"/>
      <c r="Z52" s="77"/>
      <c r="AA52" s="77"/>
      <c r="AB52" s="77"/>
      <c r="AC52" s="77"/>
      <c r="AD52" s="77"/>
      <c r="AE52" s="77"/>
      <c r="AF52" s="77"/>
      <c r="AG52" s="77"/>
      <c r="AH52" s="77"/>
      <c r="AI52" s="77"/>
      <c r="AJ52" s="77"/>
      <c r="AK52" s="77"/>
    </row>
    <row r="53" spans="12:37">
      <c r="L53" s="77"/>
      <c r="M53" s="77"/>
      <c r="N53" s="77"/>
      <c r="O53" s="77"/>
      <c r="P53" s="77"/>
      <c r="Q53" s="81">
        <v>40634</v>
      </c>
      <c r="R53" s="82">
        <v>51</v>
      </c>
      <c r="S53" s="77"/>
      <c r="T53" s="77"/>
      <c r="U53" s="77"/>
      <c r="V53" s="77"/>
      <c r="W53" s="77"/>
      <c r="X53" s="77"/>
      <c r="Y53" s="77"/>
      <c r="Z53" s="77"/>
      <c r="AA53" s="77"/>
      <c r="AB53" s="77"/>
      <c r="AC53" s="77"/>
      <c r="AD53" s="77"/>
      <c r="AE53" s="77"/>
      <c r="AF53" s="77"/>
      <c r="AG53" s="77"/>
      <c r="AH53" s="77"/>
      <c r="AI53" s="77"/>
      <c r="AJ53" s="77"/>
      <c r="AK53" s="77"/>
    </row>
    <row r="54" spans="12:37">
      <c r="L54" s="77"/>
      <c r="M54" s="77"/>
      <c r="N54" s="77"/>
      <c r="O54" s="77"/>
      <c r="P54" s="77"/>
      <c r="Q54" s="81">
        <v>40664</v>
      </c>
      <c r="R54" s="82">
        <v>51</v>
      </c>
      <c r="S54" s="77"/>
      <c r="T54" s="77"/>
      <c r="U54" s="77"/>
      <c r="V54" s="77"/>
      <c r="W54" s="77"/>
      <c r="X54" s="77"/>
      <c r="Y54" s="77"/>
      <c r="Z54" s="77"/>
      <c r="AA54" s="77"/>
      <c r="AB54" s="77"/>
      <c r="AC54" s="77"/>
      <c r="AD54" s="77"/>
      <c r="AE54" s="77"/>
      <c r="AF54" s="77"/>
      <c r="AG54" s="77"/>
      <c r="AH54" s="77"/>
      <c r="AI54" s="77"/>
      <c r="AJ54" s="77"/>
      <c r="AK54" s="77"/>
    </row>
    <row r="55" spans="12:37">
      <c r="L55" s="77"/>
      <c r="M55" s="77"/>
      <c r="N55" s="77"/>
      <c r="O55" s="77"/>
      <c r="P55" s="77"/>
      <c r="Q55" s="81">
        <v>40695</v>
      </c>
      <c r="R55" s="82">
        <v>51</v>
      </c>
      <c r="S55" s="77"/>
      <c r="T55" s="77"/>
      <c r="U55" s="77"/>
      <c r="V55" s="77"/>
      <c r="W55" s="77"/>
      <c r="X55" s="77"/>
      <c r="Y55" s="77"/>
      <c r="Z55" s="77"/>
      <c r="AA55" s="77"/>
      <c r="AB55" s="77"/>
      <c r="AC55" s="77"/>
      <c r="AD55" s="77"/>
      <c r="AE55" s="77"/>
      <c r="AF55" s="77"/>
      <c r="AG55" s="77"/>
      <c r="AH55" s="77"/>
      <c r="AI55" s="77"/>
      <c r="AJ55" s="77"/>
      <c r="AK55" s="77"/>
    </row>
    <row r="56" spans="12:37">
      <c r="L56" s="77"/>
      <c r="M56" s="77"/>
      <c r="N56" s="77"/>
      <c r="O56" s="77"/>
      <c r="P56" s="77"/>
      <c r="Q56" s="81">
        <v>40725</v>
      </c>
      <c r="R56" s="82">
        <v>58</v>
      </c>
      <c r="S56" s="77"/>
      <c r="T56" s="77"/>
      <c r="U56" s="77"/>
      <c r="V56" s="77"/>
      <c r="W56" s="77"/>
      <c r="X56" s="77"/>
      <c r="Y56" s="77"/>
      <c r="Z56" s="77"/>
      <c r="AA56" s="77"/>
      <c r="AB56" s="77"/>
      <c r="AC56" s="77"/>
      <c r="AD56" s="77"/>
      <c r="AE56" s="77"/>
      <c r="AF56" s="77"/>
      <c r="AG56" s="77"/>
      <c r="AH56" s="77"/>
      <c r="AI56" s="77"/>
      <c r="AJ56" s="77"/>
      <c r="AK56" s="77"/>
    </row>
    <row r="57" spans="12:37">
      <c r="L57" s="77"/>
      <c r="M57" s="77"/>
      <c r="N57" s="77"/>
      <c r="O57" s="77"/>
      <c r="P57" s="77"/>
      <c r="Q57" s="81">
        <v>40756</v>
      </c>
      <c r="R57" s="82">
        <v>58</v>
      </c>
      <c r="S57" s="77"/>
      <c r="T57" s="77"/>
      <c r="U57" s="77"/>
      <c r="V57" s="77"/>
      <c r="W57" s="77"/>
      <c r="X57" s="77"/>
      <c r="Y57" s="77"/>
      <c r="Z57" s="77"/>
      <c r="AA57" s="77"/>
      <c r="AB57" s="77"/>
      <c r="AC57" s="77"/>
      <c r="AD57" s="77"/>
      <c r="AE57" s="77"/>
      <c r="AF57" s="77"/>
      <c r="AG57" s="77"/>
      <c r="AH57" s="77"/>
      <c r="AI57" s="77"/>
      <c r="AJ57" s="77"/>
      <c r="AK57" s="77"/>
    </row>
    <row r="58" spans="12:37">
      <c r="L58" s="77"/>
      <c r="M58" s="77"/>
      <c r="N58" s="77"/>
      <c r="O58" s="77"/>
      <c r="P58" s="77"/>
      <c r="Q58" s="81">
        <v>40787</v>
      </c>
      <c r="R58" s="82">
        <v>58</v>
      </c>
      <c r="S58" s="77"/>
      <c r="T58" s="77"/>
      <c r="U58" s="77"/>
      <c r="V58" s="77"/>
      <c r="W58" s="77"/>
      <c r="X58" s="77"/>
      <c r="Y58" s="77"/>
      <c r="Z58" s="77"/>
      <c r="AA58" s="77"/>
      <c r="AB58" s="77"/>
      <c r="AC58" s="77"/>
      <c r="AD58" s="77"/>
      <c r="AE58" s="77"/>
      <c r="AF58" s="77"/>
      <c r="AG58" s="77"/>
      <c r="AH58" s="77"/>
      <c r="AI58" s="77"/>
      <c r="AJ58" s="77"/>
      <c r="AK58" s="77"/>
    </row>
    <row r="59" spans="12:37">
      <c r="L59" s="77"/>
      <c r="M59" s="77"/>
      <c r="N59" s="77"/>
      <c r="O59" s="77"/>
      <c r="P59" s="77"/>
      <c r="Q59" s="81">
        <v>40817</v>
      </c>
      <c r="R59" s="82">
        <v>58</v>
      </c>
      <c r="S59" s="77"/>
      <c r="T59" s="77"/>
      <c r="U59" s="77"/>
      <c r="V59" s="77"/>
      <c r="W59" s="77"/>
      <c r="X59" s="77"/>
      <c r="Y59" s="77"/>
      <c r="Z59" s="77"/>
      <c r="AA59" s="77"/>
      <c r="AB59" s="77"/>
      <c r="AC59" s="77"/>
      <c r="AD59" s="77"/>
      <c r="AE59" s="77"/>
      <c r="AF59" s="77"/>
      <c r="AG59" s="77"/>
      <c r="AH59" s="77"/>
      <c r="AI59" s="77"/>
      <c r="AJ59" s="77"/>
      <c r="AK59" s="77"/>
    </row>
    <row r="60" spans="12:37">
      <c r="L60" s="77"/>
      <c r="M60" s="77"/>
      <c r="N60" s="77"/>
      <c r="O60" s="77"/>
      <c r="P60" s="77"/>
      <c r="Q60" s="81">
        <v>40848</v>
      </c>
      <c r="R60" s="82">
        <v>58</v>
      </c>
      <c r="S60" s="77"/>
      <c r="T60" s="77"/>
      <c r="U60" s="77"/>
      <c r="V60" s="77"/>
      <c r="W60" s="77"/>
      <c r="X60" s="77"/>
      <c r="Y60" s="77"/>
      <c r="Z60" s="77"/>
      <c r="AA60" s="77"/>
      <c r="AB60" s="77"/>
      <c r="AC60" s="77"/>
      <c r="AD60" s="77"/>
      <c r="AE60" s="77"/>
      <c r="AF60" s="77"/>
      <c r="AG60" s="77"/>
      <c r="AH60" s="77"/>
      <c r="AI60" s="77"/>
      <c r="AJ60" s="77"/>
      <c r="AK60" s="77"/>
    </row>
    <row r="61" spans="12:37">
      <c r="L61" s="77"/>
      <c r="M61" s="77"/>
      <c r="N61" s="77"/>
      <c r="O61" s="77"/>
      <c r="P61" s="77"/>
      <c r="Q61" s="81">
        <v>40878</v>
      </c>
      <c r="R61" s="82">
        <v>58</v>
      </c>
      <c r="S61" s="77"/>
      <c r="T61" s="77"/>
      <c r="U61" s="77"/>
      <c r="V61" s="77"/>
      <c r="W61" s="77"/>
      <c r="X61" s="77"/>
      <c r="Y61" s="77"/>
      <c r="Z61" s="77"/>
      <c r="AA61" s="77"/>
      <c r="AB61" s="77"/>
      <c r="AC61" s="77"/>
      <c r="AD61" s="77"/>
      <c r="AE61" s="77"/>
      <c r="AF61" s="77"/>
      <c r="AG61" s="77"/>
      <c r="AH61" s="77"/>
      <c r="AI61" s="77"/>
      <c r="AJ61" s="77"/>
      <c r="AK61" s="77"/>
    </row>
    <row r="62" spans="12:37">
      <c r="L62" s="77"/>
      <c r="M62" s="119">
        <f>C21</f>
        <v>41091</v>
      </c>
      <c r="N62" s="77">
        <f>IF(C$21="","",IF(M62=C$21,D$21,IF(M62=C$22,D$22,IF(M62=C$23,D$23,IF(M62=C$24,D$24,IF(M62=C$25,D$25,IF(M62=C$26,D$26,IF(M62=C$27,D$27,IF(M62=C$28,D$28,IF(M62=C$29,D$29,IF(M62=C$30,D$30,N61)))))))))))</f>
        <v>65</v>
      </c>
      <c r="O62" s="77"/>
      <c r="P62" s="77"/>
      <c r="Q62" s="81">
        <v>40909</v>
      </c>
      <c r="R62" s="82">
        <v>65</v>
      </c>
      <c r="S62" s="77"/>
      <c r="T62" s="77"/>
      <c r="U62" s="77"/>
      <c r="V62" s="77"/>
      <c r="W62" s="77"/>
      <c r="X62" s="77"/>
      <c r="Y62" s="77"/>
      <c r="Z62" s="77"/>
      <c r="AA62" s="77"/>
      <c r="AB62" s="77"/>
      <c r="AC62" s="77"/>
      <c r="AD62" s="77"/>
      <c r="AE62" s="77"/>
      <c r="AF62" s="77"/>
      <c r="AG62" s="77"/>
      <c r="AH62" s="77"/>
      <c r="AI62" s="77"/>
      <c r="AJ62" s="77"/>
      <c r="AK62" s="77"/>
    </row>
    <row r="63" spans="12:37">
      <c r="L63" s="77"/>
      <c r="M63" s="119">
        <f>EDATE(M62,1)</f>
        <v>41122</v>
      </c>
      <c r="N63" s="77">
        <f t="shared" ref="N63:N126" si="9">IF(C$21="","",IF(M63=C$21,D$21,IF(M63=C$22,D$22,IF(M63=C$23,D$23,IF(M63=C$24,D$24,IF(M63=C$25,D$25,IF(M63=C$26,D$26,IF(M63=C$27,D$27,IF(M63=C$28,D$28,IF(M63=C$29,D$29,IF(M63=C$30,D$30,N62)))))))))))</f>
        <v>65</v>
      </c>
      <c r="O63" s="77"/>
      <c r="P63" s="77"/>
      <c r="Q63" s="81">
        <v>40940</v>
      </c>
      <c r="R63" s="82">
        <v>65</v>
      </c>
      <c r="S63" s="77"/>
      <c r="T63" s="77"/>
      <c r="U63" s="77"/>
      <c r="V63" s="77"/>
      <c r="W63" s="77"/>
      <c r="X63" s="77"/>
      <c r="Y63" s="77"/>
      <c r="Z63" s="77"/>
      <c r="AA63" s="77"/>
      <c r="AB63" s="77"/>
      <c r="AC63" s="77"/>
      <c r="AD63" s="77"/>
      <c r="AE63" s="77"/>
      <c r="AF63" s="77"/>
      <c r="AG63" s="77"/>
      <c r="AH63" s="77"/>
      <c r="AI63" s="77"/>
      <c r="AJ63" s="77"/>
      <c r="AK63" s="77"/>
    </row>
    <row r="64" spans="12:37">
      <c r="L64" s="77"/>
      <c r="M64" s="119">
        <f t="shared" ref="M64:M127" si="10">EDATE(M63,1)</f>
        <v>41153</v>
      </c>
      <c r="N64" s="77">
        <f t="shared" si="9"/>
        <v>65</v>
      </c>
      <c r="O64" s="77"/>
      <c r="P64" s="77"/>
      <c r="Q64" s="81">
        <v>40969</v>
      </c>
      <c r="R64" s="82">
        <v>65</v>
      </c>
      <c r="S64" s="77"/>
      <c r="T64" s="77"/>
      <c r="U64" s="77"/>
      <c r="V64" s="77"/>
      <c r="W64" s="77"/>
      <c r="X64" s="77"/>
      <c r="Y64" s="77"/>
      <c r="Z64" s="77"/>
      <c r="AA64" s="77"/>
      <c r="AB64" s="77"/>
      <c r="AC64" s="77"/>
      <c r="AD64" s="77"/>
      <c r="AE64" s="77"/>
      <c r="AF64" s="77"/>
      <c r="AG64" s="77"/>
      <c r="AH64" s="77"/>
      <c r="AI64" s="77"/>
      <c r="AJ64" s="77"/>
      <c r="AK64" s="77"/>
    </row>
    <row r="65" spans="12:37">
      <c r="L65" s="77"/>
      <c r="M65" s="119">
        <f t="shared" si="10"/>
        <v>41183</v>
      </c>
      <c r="N65" s="77">
        <f t="shared" si="9"/>
        <v>65</v>
      </c>
      <c r="O65" s="77"/>
      <c r="P65" s="77"/>
      <c r="Q65" s="81">
        <v>41000</v>
      </c>
      <c r="R65" s="82">
        <v>65</v>
      </c>
      <c r="S65" s="77"/>
      <c r="T65" s="77"/>
      <c r="U65" s="77"/>
      <c r="V65" s="77"/>
      <c r="W65" s="77"/>
      <c r="X65" s="77"/>
      <c r="Y65" s="77"/>
      <c r="Z65" s="77"/>
      <c r="AA65" s="77"/>
      <c r="AB65" s="77"/>
      <c r="AC65" s="77"/>
      <c r="AD65" s="77"/>
      <c r="AE65" s="77"/>
      <c r="AF65" s="77"/>
      <c r="AG65" s="77"/>
      <c r="AH65" s="77"/>
      <c r="AI65" s="77"/>
      <c r="AJ65" s="77"/>
      <c r="AK65" s="77"/>
    </row>
    <row r="66" spans="12:37">
      <c r="L66" s="77"/>
      <c r="M66" s="119">
        <f t="shared" si="10"/>
        <v>41214</v>
      </c>
      <c r="N66" s="77">
        <f t="shared" si="9"/>
        <v>65</v>
      </c>
      <c r="O66" s="77"/>
      <c r="P66" s="77"/>
      <c r="Q66" s="81">
        <v>41030</v>
      </c>
      <c r="R66" s="82">
        <v>65</v>
      </c>
      <c r="S66" s="77"/>
      <c r="T66" s="77"/>
      <c r="U66" s="77"/>
      <c r="V66" s="77"/>
      <c r="W66" s="77"/>
      <c r="X66" s="77"/>
      <c r="Y66" s="77"/>
      <c r="Z66" s="77"/>
      <c r="AA66" s="77"/>
      <c r="AB66" s="77"/>
      <c r="AC66" s="77"/>
      <c r="AD66" s="77"/>
      <c r="AE66" s="77"/>
      <c r="AF66" s="77"/>
      <c r="AG66" s="77"/>
      <c r="AH66" s="77"/>
      <c r="AI66" s="77"/>
      <c r="AJ66" s="77"/>
      <c r="AK66" s="77"/>
    </row>
    <row r="67" spans="12:37">
      <c r="L67" s="77"/>
      <c r="M67" s="119">
        <f t="shared" si="10"/>
        <v>41244</v>
      </c>
      <c r="N67" s="77">
        <f t="shared" si="9"/>
        <v>65</v>
      </c>
      <c r="O67" s="77"/>
      <c r="P67" s="77"/>
      <c r="Q67" s="81">
        <v>41061</v>
      </c>
      <c r="R67" s="82">
        <v>65</v>
      </c>
      <c r="S67" s="77"/>
      <c r="T67" s="77"/>
      <c r="U67" s="77"/>
      <c r="V67" s="77"/>
      <c r="W67" s="77"/>
      <c r="X67" s="77"/>
      <c r="Y67" s="77"/>
      <c r="Z67" s="77"/>
      <c r="AA67" s="77"/>
      <c r="AB67" s="77"/>
      <c r="AC67" s="77"/>
      <c r="AD67" s="77"/>
      <c r="AE67" s="77"/>
      <c r="AF67" s="77"/>
      <c r="AG67" s="77"/>
      <c r="AH67" s="77"/>
      <c r="AI67" s="77"/>
      <c r="AJ67" s="77"/>
      <c r="AK67" s="77"/>
    </row>
    <row r="68" spans="12:37">
      <c r="L68" s="77"/>
      <c r="M68" s="119">
        <f t="shared" si="10"/>
        <v>41275</v>
      </c>
      <c r="N68" s="77">
        <f t="shared" si="9"/>
        <v>65</v>
      </c>
      <c r="O68" s="77"/>
      <c r="P68" s="77"/>
      <c r="Q68" s="81">
        <v>41091</v>
      </c>
      <c r="R68" s="82">
        <f>VLOOKUP(Q68,M$62:N$130,2,FALSE)</f>
        <v>65</v>
      </c>
      <c r="S68" s="77"/>
      <c r="T68" s="77"/>
      <c r="U68" s="77"/>
      <c r="V68" s="77"/>
      <c r="W68" s="77"/>
      <c r="X68" s="77"/>
      <c r="Y68" s="77"/>
      <c r="Z68" s="77"/>
      <c r="AA68" s="77"/>
      <c r="AB68" s="77"/>
      <c r="AC68" s="77"/>
      <c r="AD68" s="77"/>
      <c r="AE68" s="77"/>
      <c r="AF68" s="77"/>
      <c r="AG68" s="77"/>
      <c r="AH68" s="77"/>
      <c r="AI68" s="77"/>
      <c r="AJ68" s="77"/>
      <c r="AK68" s="77"/>
    </row>
    <row r="69" spans="12:37">
      <c r="L69" s="77"/>
      <c r="M69" s="119">
        <f t="shared" si="10"/>
        <v>41306</v>
      </c>
      <c r="N69" s="77">
        <f t="shared" si="9"/>
        <v>65</v>
      </c>
      <c r="O69" s="77"/>
      <c r="P69" s="77"/>
      <c r="Q69" s="81">
        <v>41122</v>
      </c>
      <c r="R69" s="82">
        <f t="shared" ref="R69:R127" si="11">VLOOKUP(Q69,M$62:N$130,2,FALSE)</f>
        <v>65</v>
      </c>
      <c r="S69" s="77"/>
      <c r="T69" s="77"/>
      <c r="U69" s="77"/>
      <c r="V69" s="77"/>
      <c r="W69" s="77"/>
      <c r="X69" s="77"/>
      <c r="Y69" s="77"/>
      <c r="Z69" s="77"/>
      <c r="AA69" s="77"/>
      <c r="AB69" s="77"/>
      <c r="AC69" s="77"/>
      <c r="AD69" s="77"/>
      <c r="AE69" s="77"/>
      <c r="AF69" s="77"/>
      <c r="AG69" s="77"/>
      <c r="AH69" s="77"/>
      <c r="AI69" s="77"/>
      <c r="AJ69" s="77"/>
      <c r="AK69" s="77"/>
    </row>
    <row r="70" spans="12:37">
      <c r="L70" s="77"/>
      <c r="M70" s="119">
        <f t="shared" si="10"/>
        <v>41334</v>
      </c>
      <c r="N70" s="77">
        <f t="shared" si="9"/>
        <v>65</v>
      </c>
      <c r="O70" s="77"/>
      <c r="P70" s="77"/>
      <c r="Q70" s="81">
        <v>41153</v>
      </c>
      <c r="R70" s="82">
        <f t="shared" si="11"/>
        <v>65</v>
      </c>
      <c r="S70" s="77"/>
      <c r="T70" s="77"/>
      <c r="U70" s="77"/>
      <c r="V70" s="77"/>
      <c r="W70" s="77"/>
      <c r="X70" s="77"/>
      <c r="Y70" s="77"/>
      <c r="Z70" s="77"/>
      <c r="AA70" s="77"/>
      <c r="AB70" s="77"/>
      <c r="AC70" s="77"/>
      <c r="AD70" s="77"/>
      <c r="AE70" s="77"/>
      <c r="AF70" s="77"/>
      <c r="AG70" s="77"/>
      <c r="AH70" s="77"/>
      <c r="AI70" s="77"/>
      <c r="AJ70" s="77"/>
      <c r="AK70" s="77"/>
    </row>
    <row r="71" spans="12:37">
      <c r="L71" s="77"/>
      <c r="M71" s="119">
        <f t="shared" si="10"/>
        <v>41365</v>
      </c>
      <c r="N71" s="77">
        <f t="shared" si="9"/>
        <v>65</v>
      </c>
      <c r="O71" s="77"/>
      <c r="P71" s="77"/>
      <c r="Q71" s="81">
        <v>41183</v>
      </c>
      <c r="R71" s="82">
        <f t="shared" si="11"/>
        <v>65</v>
      </c>
      <c r="S71" s="77"/>
      <c r="T71" s="77"/>
      <c r="U71" s="77"/>
      <c r="V71" s="77"/>
      <c r="W71" s="77"/>
      <c r="X71" s="77"/>
      <c r="Y71" s="77"/>
      <c r="Z71" s="77"/>
      <c r="AA71" s="77"/>
      <c r="AB71" s="77"/>
      <c r="AC71" s="77"/>
      <c r="AD71" s="77"/>
      <c r="AE71" s="77"/>
      <c r="AF71" s="77"/>
      <c r="AG71" s="77"/>
      <c r="AH71" s="77"/>
      <c r="AI71" s="77"/>
      <c r="AJ71" s="77"/>
      <c r="AK71" s="77"/>
    </row>
    <row r="72" spans="12:37">
      <c r="L72" s="77"/>
      <c r="M72" s="119">
        <f t="shared" si="10"/>
        <v>41395</v>
      </c>
      <c r="N72" s="77">
        <f t="shared" si="9"/>
        <v>65</v>
      </c>
      <c r="O72" s="77"/>
      <c r="P72" s="77"/>
      <c r="Q72" s="81">
        <v>41214</v>
      </c>
      <c r="R72" s="82">
        <f t="shared" si="11"/>
        <v>65</v>
      </c>
      <c r="S72" s="77"/>
      <c r="T72" s="77"/>
      <c r="U72" s="77"/>
      <c r="V72" s="77"/>
      <c r="W72" s="77"/>
      <c r="X72" s="77"/>
      <c r="Y72" s="77"/>
      <c r="Z72" s="77"/>
      <c r="AA72" s="77"/>
      <c r="AB72" s="77"/>
      <c r="AC72" s="77"/>
      <c r="AD72" s="77"/>
      <c r="AE72" s="77"/>
      <c r="AF72" s="77"/>
      <c r="AG72" s="77"/>
      <c r="AH72" s="77"/>
      <c r="AI72" s="77"/>
      <c r="AJ72" s="77"/>
      <c r="AK72" s="77"/>
    </row>
    <row r="73" spans="12:37">
      <c r="L73" s="77"/>
      <c r="M73" s="119">
        <f t="shared" si="10"/>
        <v>41426</v>
      </c>
      <c r="N73" s="77">
        <f t="shared" si="9"/>
        <v>65</v>
      </c>
      <c r="O73" s="77"/>
      <c r="P73" s="77"/>
      <c r="Q73" s="81">
        <v>41244</v>
      </c>
      <c r="R73" s="82">
        <f t="shared" si="11"/>
        <v>65</v>
      </c>
      <c r="S73" s="77"/>
      <c r="T73" s="77"/>
      <c r="U73" s="77"/>
      <c r="V73" s="77"/>
      <c r="W73" s="77"/>
      <c r="X73" s="77"/>
      <c r="Y73" s="77"/>
      <c r="Z73" s="77"/>
      <c r="AA73" s="77"/>
      <c r="AB73" s="77"/>
      <c r="AC73" s="77"/>
      <c r="AD73" s="77"/>
      <c r="AE73" s="77"/>
      <c r="AF73" s="77"/>
      <c r="AG73" s="77"/>
      <c r="AH73" s="77"/>
      <c r="AI73" s="77"/>
      <c r="AJ73" s="77"/>
      <c r="AK73" s="77"/>
    </row>
    <row r="74" spans="12:37">
      <c r="L74" s="77"/>
      <c r="M74" s="119">
        <f t="shared" si="10"/>
        <v>41456</v>
      </c>
      <c r="N74" s="77">
        <f t="shared" si="9"/>
        <v>65</v>
      </c>
      <c r="O74" s="77"/>
      <c r="P74" s="77"/>
      <c r="Q74" s="81">
        <v>41275</v>
      </c>
      <c r="R74" s="82">
        <f t="shared" si="11"/>
        <v>65</v>
      </c>
      <c r="S74" s="77"/>
      <c r="T74" s="77"/>
      <c r="U74" s="77"/>
      <c r="V74" s="77"/>
      <c r="W74" s="77"/>
      <c r="X74" s="77"/>
      <c r="Y74" s="77"/>
      <c r="Z74" s="77"/>
      <c r="AA74" s="77"/>
      <c r="AB74" s="77"/>
      <c r="AC74" s="77"/>
      <c r="AD74" s="77"/>
      <c r="AE74" s="77"/>
      <c r="AF74" s="77"/>
      <c r="AG74" s="77"/>
      <c r="AH74" s="77"/>
      <c r="AI74" s="77"/>
      <c r="AJ74" s="77"/>
      <c r="AK74" s="77"/>
    </row>
    <row r="75" spans="12:37">
      <c r="L75" s="77"/>
      <c r="M75" s="119">
        <f t="shared" si="10"/>
        <v>41487</v>
      </c>
      <c r="N75" s="77">
        <f t="shared" si="9"/>
        <v>65</v>
      </c>
      <c r="O75" s="77"/>
      <c r="P75" s="77"/>
      <c r="Q75" s="81">
        <v>41306</v>
      </c>
      <c r="R75" s="82">
        <f t="shared" si="11"/>
        <v>65</v>
      </c>
      <c r="S75" s="77"/>
      <c r="T75" s="77"/>
      <c r="U75" s="77"/>
      <c r="V75" s="77"/>
      <c r="W75" s="77"/>
      <c r="X75" s="77"/>
      <c r="Y75" s="77"/>
      <c r="Z75" s="77"/>
      <c r="AA75" s="77"/>
      <c r="AB75" s="77"/>
      <c r="AC75" s="77"/>
      <c r="AD75" s="77"/>
      <c r="AE75" s="77"/>
      <c r="AF75" s="77"/>
      <c r="AG75" s="77"/>
      <c r="AH75" s="77"/>
      <c r="AI75" s="77"/>
      <c r="AJ75" s="77"/>
      <c r="AK75" s="77"/>
    </row>
    <row r="76" spans="12:37">
      <c r="L76" s="77"/>
      <c r="M76" s="119">
        <f t="shared" si="10"/>
        <v>41518</v>
      </c>
      <c r="N76" s="77">
        <f t="shared" si="9"/>
        <v>65</v>
      </c>
      <c r="O76" s="77"/>
      <c r="P76" s="77"/>
      <c r="Q76" s="81">
        <v>41334</v>
      </c>
      <c r="R76" s="82">
        <f t="shared" si="11"/>
        <v>65</v>
      </c>
      <c r="S76" s="77"/>
      <c r="T76" s="77"/>
      <c r="U76" s="77"/>
      <c r="V76" s="77"/>
      <c r="W76" s="77"/>
      <c r="X76" s="77"/>
      <c r="Y76" s="77"/>
      <c r="Z76" s="77"/>
      <c r="AA76" s="77"/>
      <c r="AB76" s="77"/>
      <c r="AC76" s="77"/>
      <c r="AD76" s="77"/>
      <c r="AE76" s="77"/>
      <c r="AF76" s="77"/>
      <c r="AG76" s="77"/>
      <c r="AH76" s="77"/>
      <c r="AI76" s="77"/>
      <c r="AJ76" s="77"/>
      <c r="AK76" s="77"/>
    </row>
    <row r="77" spans="12:37">
      <c r="L77" s="77"/>
      <c r="M77" s="119">
        <f t="shared" si="10"/>
        <v>41548</v>
      </c>
      <c r="N77" s="77">
        <f t="shared" si="9"/>
        <v>65</v>
      </c>
      <c r="O77" s="77"/>
      <c r="P77" s="77"/>
      <c r="Q77" s="81">
        <v>41365</v>
      </c>
      <c r="R77" s="82">
        <f t="shared" si="11"/>
        <v>65</v>
      </c>
      <c r="S77" s="77"/>
      <c r="T77" s="77"/>
      <c r="U77" s="77"/>
      <c r="V77" s="77"/>
      <c r="W77" s="77"/>
      <c r="X77" s="77"/>
      <c r="Y77" s="77"/>
      <c r="Z77" s="77"/>
      <c r="AA77" s="77"/>
      <c r="AB77" s="77"/>
      <c r="AC77" s="77"/>
      <c r="AD77" s="77"/>
      <c r="AE77" s="77"/>
      <c r="AF77" s="77"/>
      <c r="AG77" s="77"/>
      <c r="AH77" s="77"/>
      <c r="AI77" s="77"/>
      <c r="AJ77" s="77"/>
      <c r="AK77" s="77"/>
    </row>
    <row r="78" spans="12:37">
      <c r="L78" s="77"/>
      <c r="M78" s="119">
        <f t="shared" si="10"/>
        <v>41579</v>
      </c>
      <c r="N78" s="77">
        <f t="shared" si="9"/>
        <v>65</v>
      </c>
      <c r="O78" s="77"/>
      <c r="P78" s="77"/>
      <c r="Q78" s="81">
        <v>41395</v>
      </c>
      <c r="R78" s="82">
        <f t="shared" si="11"/>
        <v>65</v>
      </c>
      <c r="S78" s="77"/>
      <c r="T78" s="77"/>
      <c r="U78" s="77"/>
      <c r="V78" s="77"/>
      <c r="W78" s="77"/>
      <c r="X78" s="77"/>
      <c r="Y78" s="77"/>
      <c r="Z78" s="77"/>
      <c r="AA78" s="77"/>
      <c r="AB78" s="77"/>
      <c r="AC78" s="77"/>
      <c r="AD78" s="77"/>
      <c r="AE78" s="77"/>
      <c r="AF78" s="77"/>
      <c r="AG78" s="77"/>
      <c r="AH78" s="77"/>
      <c r="AI78" s="77"/>
      <c r="AJ78" s="77"/>
      <c r="AK78" s="77"/>
    </row>
    <row r="79" spans="12:37">
      <c r="L79" s="77"/>
      <c r="M79" s="119">
        <f t="shared" si="10"/>
        <v>41609</v>
      </c>
      <c r="N79" s="77">
        <f t="shared" si="9"/>
        <v>65</v>
      </c>
      <c r="O79" s="77"/>
      <c r="P79" s="77"/>
      <c r="Q79" s="81">
        <v>41426</v>
      </c>
      <c r="R79" s="82">
        <f t="shared" si="11"/>
        <v>65</v>
      </c>
      <c r="S79" s="77"/>
      <c r="T79" s="77"/>
      <c r="U79" s="77"/>
      <c r="V79" s="77"/>
      <c r="W79" s="77"/>
      <c r="X79" s="77"/>
      <c r="Y79" s="77"/>
      <c r="Z79" s="77"/>
      <c r="AA79" s="77"/>
      <c r="AB79" s="77"/>
      <c r="AC79" s="77"/>
      <c r="AD79" s="77"/>
      <c r="AE79" s="77"/>
      <c r="AF79" s="77"/>
      <c r="AG79" s="77"/>
      <c r="AH79" s="77"/>
      <c r="AI79" s="77"/>
      <c r="AJ79" s="77"/>
      <c r="AK79" s="77"/>
    </row>
    <row r="80" spans="12:37">
      <c r="L80" s="77"/>
      <c r="M80" s="119">
        <f t="shared" si="10"/>
        <v>41640</v>
      </c>
      <c r="N80" s="77">
        <f t="shared" si="9"/>
        <v>65</v>
      </c>
      <c r="O80" s="77"/>
      <c r="P80" s="77"/>
      <c r="Q80" s="81">
        <v>41456</v>
      </c>
      <c r="R80" s="82">
        <f t="shared" si="11"/>
        <v>65</v>
      </c>
      <c r="S80" s="77"/>
      <c r="T80" s="77"/>
      <c r="U80" s="77"/>
      <c r="V80" s="77"/>
      <c r="W80" s="77"/>
      <c r="X80" s="77"/>
      <c r="Y80" s="77"/>
      <c r="Z80" s="77"/>
      <c r="AA80" s="77"/>
      <c r="AB80" s="77"/>
      <c r="AC80" s="77"/>
      <c r="AD80" s="77"/>
      <c r="AE80" s="77"/>
      <c r="AF80" s="77"/>
      <c r="AG80" s="77"/>
      <c r="AH80" s="77"/>
      <c r="AI80" s="77"/>
      <c r="AJ80" s="77"/>
      <c r="AK80" s="77"/>
    </row>
    <row r="81" spans="12:37">
      <c r="L81" s="77"/>
      <c r="M81" s="119">
        <f t="shared" si="10"/>
        <v>41671</v>
      </c>
      <c r="N81" s="77">
        <f t="shared" si="9"/>
        <v>65</v>
      </c>
      <c r="O81" s="77"/>
      <c r="P81" s="77"/>
      <c r="Q81" s="81">
        <v>41487</v>
      </c>
      <c r="R81" s="82">
        <f t="shared" si="11"/>
        <v>65</v>
      </c>
      <c r="S81" s="77"/>
      <c r="T81" s="77"/>
      <c r="U81" s="77"/>
      <c r="V81" s="77"/>
      <c r="W81" s="77"/>
      <c r="X81" s="77"/>
      <c r="Y81" s="77"/>
      <c r="Z81" s="77"/>
      <c r="AA81" s="77"/>
      <c r="AB81" s="77"/>
      <c r="AC81" s="77"/>
      <c r="AD81" s="77"/>
      <c r="AE81" s="77"/>
      <c r="AF81" s="77"/>
      <c r="AG81" s="77"/>
      <c r="AH81" s="77"/>
      <c r="AI81" s="77"/>
      <c r="AJ81" s="77"/>
      <c r="AK81" s="77"/>
    </row>
    <row r="82" spans="12:37">
      <c r="L82" s="77"/>
      <c r="M82" s="119">
        <f t="shared" si="10"/>
        <v>41699</v>
      </c>
      <c r="N82" s="77">
        <f t="shared" si="9"/>
        <v>65</v>
      </c>
      <c r="O82" s="77"/>
      <c r="P82" s="77"/>
      <c r="Q82" s="81">
        <v>41518</v>
      </c>
      <c r="R82" s="82">
        <f t="shared" si="11"/>
        <v>65</v>
      </c>
      <c r="S82" s="77"/>
      <c r="T82" s="77"/>
      <c r="U82" s="77"/>
      <c r="V82" s="77"/>
      <c r="W82" s="77"/>
      <c r="X82" s="77"/>
      <c r="Y82" s="77"/>
      <c r="Z82" s="77"/>
      <c r="AA82" s="77"/>
      <c r="AB82" s="77"/>
      <c r="AC82" s="77"/>
      <c r="AD82" s="77"/>
      <c r="AE82" s="77"/>
      <c r="AF82" s="77"/>
      <c r="AG82" s="77"/>
      <c r="AH82" s="77"/>
      <c r="AI82" s="77"/>
      <c r="AJ82" s="77"/>
      <c r="AK82" s="77"/>
    </row>
    <row r="83" spans="12:37">
      <c r="L83" s="77"/>
      <c r="M83" s="119">
        <f t="shared" si="10"/>
        <v>41730</v>
      </c>
      <c r="N83" s="77">
        <f t="shared" si="9"/>
        <v>65</v>
      </c>
      <c r="O83" s="77"/>
      <c r="P83" s="77"/>
      <c r="Q83" s="81">
        <v>41548</v>
      </c>
      <c r="R83" s="82">
        <f t="shared" si="11"/>
        <v>65</v>
      </c>
      <c r="S83" s="77"/>
      <c r="T83" s="77"/>
      <c r="U83" s="77"/>
      <c r="V83" s="77"/>
      <c r="W83" s="77"/>
      <c r="X83" s="77"/>
      <c r="Y83" s="77"/>
      <c r="Z83" s="77"/>
      <c r="AA83" s="77"/>
      <c r="AB83" s="77"/>
      <c r="AC83" s="77"/>
      <c r="AD83" s="77"/>
      <c r="AE83" s="77"/>
      <c r="AF83" s="77"/>
      <c r="AG83" s="77"/>
      <c r="AH83" s="77"/>
      <c r="AI83" s="77"/>
      <c r="AJ83" s="77"/>
      <c r="AK83" s="77"/>
    </row>
    <row r="84" spans="12:37">
      <c r="L84" s="77"/>
      <c r="M84" s="119">
        <f t="shared" si="10"/>
        <v>41760</v>
      </c>
      <c r="N84" s="77">
        <f t="shared" si="9"/>
        <v>65</v>
      </c>
      <c r="O84" s="77"/>
      <c r="P84" s="77"/>
      <c r="Q84" s="81">
        <v>41579</v>
      </c>
      <c r="R84" s="82">
        <f t="shared" si="11"/>
        <v>65</v>
      </c>
      <c r="S84" s="77"/>
      <c r="T84" s="77"/>
      <c r="U84" s="77"/>
      <c r="V84" s="77"/>
      <c r="W84" s="77"/>
      <c r="X84" s="77"/>
      <c r="Y84" s="77"/>
      <c r="Z84" s="77"/>
      <c r="AA84" s="77"/>
      <c r="AB84" s="77"/>
      <c r="AC84" s="77"/>
      <c r="AD84" s="77"/>
      <c r="AE84" s="77"/>
      <c r="AF84" s="77"/>
      <c r="AG84" s="77"/>
      <c r="AH84" s="77"/>
      <c r="AI84" s="77"/>
      <c r="AJ84" s="77"/>
      <c r="AK84" s="77"/>
    </row>
    <row r="85" spans="12:37">
      <c r="L85" s="77"/>
      <c r="M85" s="119">
        <f t="shared" si="10"/>
        <v>41791</v>
      </c>
      <c r="N85" s="77">
        <f t="shared" si="9"/>
        <v>65</v>
      </c>
      <c r="O85" s="77"/>
      <c r="P85" s="77"/>
      <c r="Q85" s="81">
        <v>41609</v>
      </c>
      <c r="R85" s="82">
        <f t="shared" si="11"/>
        <v>65</v>
      </c>
      <c r="S85" s="77"/>
      <c r="T85" s="77"/>
      <c r="U85" s="77"/>
      <c r="V85" s="77"/>
      <c r="W85" s="77"/>
      <c r="X85" s="77"/>
      <c r="Y85" s="77"/>
      <c r="Z85" s="77"/>
      <c r="AA85" s="77"/>
      <c r="AB85" s="77"/>
      <c r="AC85" s="77"/>
      <c r="AD85" s="77"/>
      <c r="AE85" s="77"/>
      <c r="AF85" s="77"/>
      <c r="AG85" s="77"/>
      <c r="AH85" s="77"/>
      <c r="AI85" s="77"/>
      <c r="AJ85" s="77"/>
      <c r="AK85" s="77"/>
    </row>
    <row r="86" spans="12:37">
      <c r="L86" s="77"/>
      <c r="M86" s="119">
        <f t="shared" si="10"/>
        <v>41821</v>
      </c>
      <c r="N86" s="77">
        <f t="shared" si="9"/>
        <v>65</v>
      </c>
      <c r="O86" s="77"/>
      <c r="P86" s="77"/>
      <c r="Q86" s="81">
        <v>41640</v>
      </c>
      <c r="R86" s="82">
        <f t="shared" si="11"/>
        <v>65</v>
      </c>
      <c r="S86" s="77"/>
      <c r="T86" s="77"/>
      <c r="U86" s="77"/>
      <c r="V86" s="77"/>
      <c r="W86" s="77"/>
      <c r="X86" s="77"/>
      <c r="Y86" s="77"/>
      <c r="Z86" s="77"/>
      <c r="AA86" s="77"/>
      <c r="AB86" s="77"/>
      <c r="AC86" s="77"/>
      <c r="AD86" s="77"/>
      <c r="AE86" s="77"/>
      <c r="AF86" s="77"/>
      <c r="AG86" s="77"/>
      <c r="AH86" s="77"/>
      <c r="AI86" s="77"/>
      <c r="AJ86" s="77"/>
      <c r="AK86" s="77"/>
    </row>
    <row r="87" spans="12:37">
      <c r="L87" s="77"/>
      <c r="M87" s="119">
        <f t="shared" si="10"/>
        <v>41852</v>
      </c>
      <c r="N87" s="77">
        <f t="shared" si="9"/>
        <v>65</v>
      </c>
      <c r="O87" s="77"/>
      <c r="P87" s="77"/>
      <c r="Q87" s="81">
        <v>41671</v>
      </c>
      <c r="R87" s="82">
        <f t="shared" si="11"/>
        <v>65</v>
      </c>
      <c r="S87" s="77"/>
      <c r="T87" s="77"/>
      <c r="U87" s="77"/>
      <c r="V87" s="77"/>
      <c r="W87" s="77"/>
      <c r="X87" s="77"/>
      <c r="Y87" s="77"/>
      <c r="Z87" s="77"/>
      <c r="AA87" s="77"/>
      <c r="AB87" s="77"/>
      <c r="AC87" s="77"/>
      <c r="AD87" s="77"/>
      <c r="AE87" s="77"/>
      <c r="AF87" s="77"/>
      <c r="AG87" s="77"/>
      <c r="AH87" s="77"/>
      <c r="AI87" s="77"/>
      <c r="AJ87" s="77"/>
      <c r="AK87" s="77"/>
    </row>
    <row r="88" spans="12:37">
      <c r="L88" s="77"/>
      <c r="M88" s="119">
        <f t="shared" si="10"/>
        <v>41883</v>
      </c>
      <c r="N88" s="77">
        <f t="shared" si="9"/>
        <v>65</v>
      </c>
      <c r="O88" s="77"/>
      <c r="P88" s="77"/>
      <c r="Q88" s="81">
        <v>41699</v>
      </c>
      <c r="R88" s="82">
        <f t="shared" si="11"/>
        <v>65</v>
      </c>
      <c r="S88" s="77"/>
      <c r="T88" s="77"/>
      <c r="U88" s="77"/>
      <c r="V88" s="77"/>
      <c r="W88" s="77"/>
      <c r="X88" s="77"/>
      <c r="Y88" s="77"/>
      <c r="Z88" s="77"/>
      <c r="AA88" s="77"/>
      <c r="AB88" s="77"/>
      <c r="AC88" s="77"/>
      <c r="AD88" s="77"/>
      <c r="AE88" s="77"/>
      <c r="AF88" s="77"/>
      <c r="AG88" s="77"/>
      <c r="AH88" s="77"/>
      <c r="AI88" s="77"/>
      <c r="AJ88" s="77"/>
      <c r="AK88" s="77"/>
    </row>
    <row r="89" spans="12:37">
      <c r="L89" s="77"/>
      <c r="M89" s="119">
        <f t="shared" si="10"/>
        <v>41913</v>
      </c>
      <c r="N89" s="77">
        <f t="shared" si="9"/>
        <v>65</v>
      </c>
      <c r="O89" s="77"/>
      <c r="P89" s="77"/>
      <c r="Q89" s="81">
        <v>41730</v>
      </c>
      <c r="R89" s="82">
        <f t="shared" si="11"/>
        <v>65</v>
      </c>
      <c r="S89" s="77"/>
      <c r="T89" s="77"/>
      <c r="U89" s="77"/>
      <c r="V89" s="77"/>
      <c r="W89" s="77"/>
      <c r="X89" s="77"/>
      <c r="Y89" s="77"/>
      <c r="Z89" s="77"/>
      <c r="AA89" s="77"/>
      <c r="AB89" s="77"/>
      <c r="AC89" s="77"/>
      <c r="AD89" s="77"/>
      <c r="AE89" s="77"/>
      <c r="AF89" s="77"/>
      <c r="AG89" s="77"/>
      <c r="AH89" s="77"/>
      <c r="AI89" s="77"/>
      <c r="AJ89" s="77"/>
      <c r="AK89" s="77"/>
    </row>
    <row r="90" spans="12:37">
      <c r="L90" s="77"/>
      <c r="M90" s="119">
        <f t="shared" si="10"/>
        <v>41944</v>
      </c>
      <c r="N90" s="77">
        <f t="shared" si="9"/>
        <v>65</v>
      </c>
      <c r="O90" s="77"/>
      <c r="P90" s="77"/>
      <c r="Q90" s="81">
        <v>41760</v>
      </c>
      <c r="R90" s="82">
        <f t="shared" si="11"/>
        <v>65</v>
      </c>
      <c r="S90" s="77"/>
      <c r="T90" s="77"/>
      <c r="U90" s="77"/>
      <c r="V90" s="77"/>
      <c r="W90" s="77"/>
      <c r="X90" s="77"/>
      <c r="Y90" s="77"/>
      <c r="Z90" s="77"/>
      <c r="AA90" s="77"/>
      <c r="AB90" s="77"/>
      <c r="AC90" s="77"/>
      <c r="AD90" s="77"/>
      <c r="AE90" s="77"/>
      <c r="AF90" s="77"/>
      <c r="AG90" s="77"/>
      <c r="AH90" s="77"/>
      <c r="AI90" s="77"/>
      <c r="AJ90" s="77"/>
      <c r="AK90" s="77"/>
    </row>
    <row r="91" spans="12:37">
      <c r="L91" s="77"/>
      <c r="M91" s="119">
        <f t="shared" si="10"/>
        <v>41974</v>
      </c>
      <c r="N91" s="77">
        <f t="shared" si="9"/>
        <v>65</v>
      </c>
      <c r="O91" s="77"/>
      <c r="P91" s="77"/>
      <c r="Q91" s="81">
        <v>41791</v>
      </c>
      <c r="R91" s="82">
        <f t="shared" si="11"/>
        <v>65</v>
      </c>
      <c r="S91" s="77"/>
      <c r="T91" s="77"/>
      <c r="U91" s="77"/>
      <c r="V91" s="77"/>
      <c r="W91" s="77"/>
      <c r="X91" s="77"/>
      <c r="Y91" s="77"/>
      <c r="Z91" s="77"/>
      <c r="AA91" s="77"/>
      <c r="AB91" s="77"/>
      <c r="AC91" s="77"/>
      <c r="AD91" s="77"/>
      <c r="AE91" s="77"/>
      <c r="AF91" s="77"/>
      <c r="AG91" s="77"/>
      <c r="AH91" s="77"/>
      <c r="AI91" s="77"/>
      <c r="AJ91" s="77"/>
      <c r="AK91" s="77"/>
    </row>
    <row r="92" spans="12:37">
      <c r="L92" s="77"/>
      <c r="M92" s="119">
        <f t="shared" si="10"/>
        <v>42005</v>
      </c>
      <c r="N92" s="77">
        <f t="shared" si="9"/>
        <v>65</v>
      </c>
      <c r="O92" s="77"/>
      <c r="P92" s="77"/>
      <c r="Q92" s="81">
        <v>41821</v>
      </c>
      <c r="R92" s="82">
        <f t="shared" si="11"/>
        <v>65</v>
      </c>
      <c r="S92" s="77"/>
      <c r="T92" s="77"/>
      <c r="U92" s="77"/>
      <c r="V92" s="77"/>
      <c r="W92" s="77"/>
      <c r="X92" s="77"/>
      <c r="Y92" s="77"/>
      <c r="Z92" s="77"/>
      <c r="AA92" s="77"/>
      <c r="AB92" s="77"/>
      <c r="AC92" s="77"/>
    </row>
    <row r="93" spans="12:37">
      <c r="L93" s="77"/>
      <c r="M93" s="119">
        <f t="shared" si="10"/>
        <v>42036</v>
      </c>
      <c r="N93" s="77">
        <f t="shared" si="9"/>
        <v>65</v>
      </c>
      <c r="O93" s="77"/>
      <c r="P93" s="77"/>
      <c r="Q93" s="81">
        <v>41852</v>
      </c>
      <c r="R93" s="82">
        <f t="shared" si="11"/>
        <v>65</v>
      </c>
      <c r="S93" s="77"/>
      <c r="T93" s="77"/>
      <c r="U93" s="77"/>
      <c r="V93" s="77"/>
      <c r="W93" s="77"/>
      <c r="X93" s="77"/>
      <c r="Y93" s="77"/>
      <c r="Z93" s="77"/>
      <c r="AA93" s="77"/>
      <c r="AB93" s="77"/>
      <c r="AC93" s="77"/>
    </row>
    <row r="94" spans="12:37">
      <c r="L94" s="77"/>
      <c r="M94" s="119">
        <f t="shared" si="10"/>
        <v>42064</v>
      </c>
      <c r="N94" s="77">
        <f t="shared" si="9"/>
        <v>65</v>
      </c>
      <c r="O94" s="77"/>
      <c r="P94" s="77"/>
      <c r="Q94" s="81">
        <v>41883</v>
      </c>
      <c r="R94" s="82">
        <f t="shared" si="11"/>
        <v>65</v>
      </c>
      <c r="S94" s="77"/>
      <c r="T94" s="77"/>
      <c r="U94" s="77"/>
      <c r="V94" s="77"/>
      <c r="W94" s="77"/>
      <c r="X94" s="77"/>
      <c r="Y94" s="77"/>
      <c r="Z94" s="77"/>
      <c r="AA94" s="77"/>
      <c r="AB94" s="77"/>
      <c r="AC94" s="77"/>
    </row>
    <row r="95" spans="12:37">
      <c r="L95" s="77"/>
      <c r="M95" s="119">
        <f t="shared" si="10"/>
        <v>42095</v>
      </c>
      <c r="N95" s="77">
        <f t="shared" si="9"/>
        <v>65</v>
      </c>
      <c r="O95" s="77"/>
      <c r="P95" s="77"/>
      <c r="Q95" s="81">
        <v>41913</v>
      </c>
      <c r="R95" s="82">
        <f t="shared" si="11"/>
        <v>65</v>
      </c>
      <c r="S95" s="77"/>
      <c r="T95" s="77"/>
      <c r="U95" s="77"/>
      <c r="V95" s="77"/>
      <c r="W95" s="77"/>
      <c r="X95" s="77"/>
      <c r="Y95" s="77"/>
      <c r="Z95" s="77"/>
      <c r="AA95" s="77"/>
      <c r="AB95" s="77"/>
      <c r="AC95" s="77"/>
    </row>
    <row r="96" spans="12:37">
      <c r="L96" s="77"/>
      <c r="M96" s="119">
        <f t="shared" si="10"/>
        <v>42125</v>
      </c>
      <c r="N96" s="77">
        <f t="shared" si="9"/>
        <v>65</v>
      </c>
      <c r="O96" s="77"/>
      <c r="P96" s="77"/>
      <c r="Q96" s="81">
        <v>41944</v>
      </c>
      <c r="R96" s="82">
        <f t="shared" si="11"/>
        <v>65</v>
      </c>
      <c r="S96" s="77"/>
      <c r="T96" s="77"/>
      <c r="U96" s="77"/>
      <c r="V96" s="77"/>
      <c r="W96" s="77"/>
      <c r="X96" s="77"/>
      <c r="Y96" s="77"/>
      <c r="Z96" s="77"/>
      <c r="AA96" s="77"/>
      <c r="AB96" s="77"/>
      <c r="AC96" s="77"/>
    </row>
    <row r="97" spans="12:29">
      <c r="L97" s="77"/>
      <c r="M97" s="119">
        <f t="shared" si="10"/>
        <v>42156</v>
      </c>
      <c r="N97" s="77">
        <f t="shared" si="9"/>
        <v>65</v>
      </c>
      <c r="O97" s="77"/>
      <c r="P97" s="77"/>
      <c r="Q97" s="81">
        <v>41974</v>
      </c>
      <c r="R97" s="82">
        <f t="shared" si="11"/>
        <v>65</v>
      </c>
      <c r="S97" s="77"/>
      <c r="T97" s="77"/>
      <c r="U97" s="77"/>
      <c r="V97" s="77"/>
      <c r="W97" s="77"/>
      <c r="X97" s="77"/>
      <c r="Y97" s="77"/>
      <c r="Z97" s="77"/>
      <c r="AA97" s="77"/>
      <c r="AB97" s="77"/>
      <c r="AC97" s="77"/>
    </row>
    <row r="98" spans="12:29">
      <c r="L98" s="77"/>
      <c r="M98" s="119">
        <f t="shared" si="10"/>
        <v>42186</v>
      </c>
      <c r="N98" s="77">
        <f t="shared" si="9"/>
        <v>65</v>
      </c>
      <c r="O98" s="77"/>
      <c r="P98" s="77"/>
      <c r="Q98" s="81">
        <v>42005</v>
      </c>
      <c r="R98" s="82">
        <f t="shared" si="11"/>
        <v>65</v>
      </c>
      <c r="S98" s="77"/>
      <c r="T98" s="77"/>
      <c r="U98" s="77"/>
      <c r="V98" s="77"/>
      <c r="W98" s="77"/>
      <c r="X98" s="77"/>
      <c r="Y98" s="77"/>
      <c r="Z98" s="77"/>
      <c r="AA98" s="77"/>
      <c r="AB98" s="77"/>
      <c r="AC98" s="77"/>
    </row>
    <row r="99" spans="12:29">
      <c r="L99" s="77"/>
      <c r="M99" s="119">
        <f t="shared" si="10"/>
        <v>42217</v>
      </c>
      <c r="N99" s="77">
        <f t="shared" si="9"/>
        <v>65</v>
      </c>
      <c r="O99" s="77"/>
      <c r="P99" s="77"/>
      <c r="Q99" s="81">
        <v>42036</v>
      </c>
      <c r="R99" s="82">
        <f t="shared" si="11"/>
        <v>65</v>
      </c>
      <c r="S99" s="77"/>
      <c r="T99" s="77"/>
      <c r="U99" s="77"/>
      <c r="V99" s="77"/>
      <c r="W99" s="77"/>
      <c r="X99" s="77"/>
      <c r="Y99" s="77"/>
      <c r="Z99" s="77"/>
      <c r="AA99" s="77"/>
      <c r="AB99" s="77"/>
      <c r="AC99" s="77"/>
    </row>
    <row r="100" spans="12:29">
      <c r="L100" s="77"/>
      <c r="M100" s="119">
        <f t="shared" si="10"/>
        <v>42248</v>
      </c>
      <c r="N100" s="77">
        <f t="shared" si="9"/>
        <v>65</v>
      </c>
      <c r="O100" s="77"/>
      <c r="P100" s="77"/>
      <c r="Q100" s="81">
        <v>42064</v>
      </c>
      <c r="R100" s="82">
        <f t="shared" si="11"/>
        <v>65</v>
      </c>
      <c r="S100" s="77"/>
      <c r="T100" s="77"/>
      <c r="U100" s="77"/>
      <c r="V100" s="77"/>
      <c r="W100" s="77"/>
      <c r="X100" s="77"/>
      <c r="Y100" s="77"/>
      <c r="Z100" s="77"/>
      <c r="AA100" s="77"/>
      <c r="AB100" s="77"/>
      <c r="AC100" s="77"/>
    </row>
    <row r="101" spans="12:29">
      <c r="L101" s="77"/>
      <c r="M101" s="119">
        <f t="shared" si="10"/>
        <v>42278</v>
      </c>
      <c r="N101" s="77">
        <f t="shared" si="9"/>
        <v>65</v>
      </c>
      <c r="O101" s="77"/>
      <c r="P101" s="77"/>
      <c r="Q101" s="81">
        <v>42095</v>
      </c>
      <c r="R101" s="82">
        <f t="shared" si="11"/>
        <v>65</v>
      </c>
      <c r="S101" s="77"/>
      <c r="T101" s="77"/>
      <c r="U101" s="77"/>
      <c r="V101" s="77"/>
      <c r="W101" s="77"/>
      <c r="X101" s="77"/>
      <c r="Y101" s="77"/>
      <c r="Z101" s="77"/>
      <c r="AA101" s="77"/>
      <c r="AB101" s="77"/>
      <c r="AC101" s="77"/>
    </row>
    <row r="102" spans="12:29">
      <c r="L102" s="77"/>
      <c r="M102" s="119">
        <f t="shared" si="10"/>
        <v>42309</v>
      </c>
      <c r="N102" s="77">
        <f t="shared" si="9"/>
        <v>65</v>
      </c>
      <c r="O102" s="77"/>
      <c r="P102" s="77"/>
      <c r="Q102" s="81">
        <v>42125</v>
      </c>
      <c r="R102" s="82">
        <f t="shared" si="11"/>
        <v>65</v>
      </c>
      <c r="S102" s="77"/>
      <c r="T102" s="77"/>
      <c r="U102" s="77"/>
      <c r="V102" s="77"/>
      <c r="W102" s="77"/>
      <c r="X102" s="77"/>
      <c r="Y102" s="77"/>
      <c r="Z102" s="77"/>
      <c r="AA102" s="77"/>
      <c r="AB102" s="77"/>
      <c r="AC102" s="77"/>
    </row>
    <row r="103" spans="12:29">
      <c r="L103" s="77"/>
      <c r="M103" s="119">
        <f t="shared" si="10"/>
        <v>42339</v>
      </c>
      <c r="N103" s="77">
        <f t="shared" si="9"/>
        <v>65</v>
      </c>
      <c r="O103" s="77"/>
      <c r="P103" s="77"/>
      <c r="Q103" s="81">
        <v>42156</v>
      </c>
      <c r="R103" s="82">
        <f t="shared" si="11"/>
        <v>65</v>
      </c>
      <c r="S103" s="77"/>
      <c r="T103" s="77"/>
      <c r="U103" s="77"/>
      <c r="V103" s="77"/>
      <c r="W103" s="77"/>
      <c r="X103" s="77"/>
      <c r="Y103" s="77"/>
      <c r="Z103" s="77"/>
      <c r="AA103" s="77"/>
      <c r="AB103" s="77"/>
      <c r="AC103" s="77"/>
    </row>
    <row r="104" spans="12:29">
      <c r="L104" s="77"/>
      <c r="M104" s="119">
        <f t="shared" si="10"/>
        <v>42370</v>
      </c>
      <c r="N104" s="77">
        <f t="shared" si="9"/>
        <v>65</v>
      </c>
      <c r="O104" s="77"/>
      <c r="P104" s="77"/>
      <c r="Q104" s="81">
        <v>42186</v>
      </c>
      <c r="R104" s="82">
        <f t="shared" si="11"/>
        <v>65</v>
      </c>
      <c r="S104" s="77"/>
      <c r="T104" s="77"/>
      <c r="U104" s="77"/>
      <c r="V104" s="77"/>
      <c r="W104" s="77"/>
      <c r="X104" s="77"/>
      <c r="Y104" s="77"/>
      <c r="Z104" s="77"/>
      <c r="AA104" s="77"/>
      <c r="AB104" s="77"/>
      <c r="AC104" s="77"/>
    </row>
    <row r="105" spans="12:29">
      <c r="L105" s="77"/>
      <c r="M105" s="119">
        <f t="shared" si="10"/>
        <v>42401</v>
      </c>
      <c r="N105" s="77">
        <f t="shared" si="9"/>
        <v>65</v>
      </c>
      <c r="O105" s="77"/>
      <c r="P105" s="77"/>
      <c r="Q105" s="81">
        <v>42217</v>
      </c>
      <c r="R105" s="82">
        <f t="shared" si="11"/>
        <v>65</v>
      </c>
      <c r="S105" s="77"/>
      <c r="T105" s="77"/>
      <c r="U105" s="77"/>
      <c r="V105" s="77"/>
      <c r="W105" s="77"/>
      <c r="X105" s="77"/>
      <c r="Y105" s="77"/>
      <c r="Z105" s="77"/>
      <c r="AA105" s="77"/>
      <c r="AB105" s="77"/>
      <c r="AC105" s="77"/>
    </row>
    <row r="106" spans="12:29">
      <c r="L106" s="77"/>
      <c r="M106" s="119">
        <f t="shared" si="10"/>
        <v>42430</v>
      </c>
      <c r="N106" s="77">
        <f t="shared" si="9"/>
        <v>65</v>
      </c>
      <c r="O106" s="77"/>
      <c r="P106" s="77"/>
      <c r="Q106" s="81">
        <v>42248</v>
      </c>
      <c r="R106" s="82">
        <f t="shared" si="11"/>
        <v>65</v>
      </c>
      <c r="S106" s="77"/>
      <c r="T106" s="77"/>
      <c r="U106" s="77"/>
      <c r="V106" s="77"/>
      <c r="W106" s="77"/>
      <c r="X106" s="77"/>
      <c r="Y106" s="77"/>
      <c r="Z106" s="77"/>
      <c r="AA106" s="77"/>
      <c r="AB106" s="77"/>
      <c r="AC106" s="77"/>
    </row>
    <row r="107" spans="12:29">
      <c r="L107" s="77"/>
      <c r="M107" s="119">
        <f t="shared" si="10"/>
        <v>42461</v>
      </c>
      <c r="N107" s="77">
        <f t="shared" si="9"/>
        <v>65</v>
      </c>
      <c r="O107" s="77"/>
      <c r="P107" s="77"/>
      <c r="Q107" s="81">
        <v>42278</v>
      </c>
      <c r="R107" s="82">
        <f t="shared" si="11"/>
        <v>65</v>
      </c>
      <c r="S107" s="77"/>
      <c r="T107" s="77"/>
      <c r="U107" s="77"/>
      <c r="V107" s="77"/>
      <c r="W107" s="77"/>
      <c r="X107" s="77"/>
      <c r="Y107" s="77"/>
      <c r="Z107" s="77"/>
      <c r="AA107" s="77"/>
      <c r="AB107" s="77"/>
      <c r="AC107" s="77"/>
    </row>
    <row r="108" spans="12:29">
      <c r="L108" s="77"/>
      <c r="M108" s="119">
        <f t="shared" si="10"/>
        <v>42491</v>
      </c>
      <c r="N108" s="77">
        <f t="shared" si="9"/>
        <v>65</v>
      </c>
      <c r="O108" s="77"/>
      <c r="P108" s="77"/>
      <c r="Q108" s="81">
        <v>42309</v>
      </c>
      <c r="R108" s="82">
        <f t="shared" si="11"/>
        <v>65</v>
      </c>
      <c r="S108" s="77"/>
      <c r="T108" s="77"/>
      <c r="U108" s="77"/>
      <c r="V108" s="77"/>
      <c r="W108" s="77"/>
      <c r="X108" s="77"/>
      <c r="Y108" s="77"/>
      <c r="Z108" s="77"/>
      <c r="AA108" s="77"/>
      <c r="AB108" s="77"/>
      <c r="AC108" s="77"/>
    </row>
    <row r="109" spans="12:29">
      <c r="L109" s="77"/>
      <c r="M109" s="119">
        <f t="shared" si="10"/>
        <v>42522</v>
      </c>
      <c r="N109" s="77">
        <f t="shared" si="9"/>
        <v>65</v>
      </c>
      <c r="O109" s="77"/>
      <c r="P109" s="77"/>
      <c r="Q109" s="81">
        <v>42339</v>
      </c>
      <c r="R109" s="82">
        <f t="shared" si="11"/>
        <v>65</v>
      </c>
      <c r="S109" s="77"/>
      <c r="T109" s="77"/>
      <c r="U109" s="77"/>
      <c r="V109" s="77"/>
      <c r="W109" s="77"/>
      <c r="X109" s="77"/>
      <c r="Y109" s="77"/>
      <c r="Z109" s="77"/>
      <c r="AA109" s="77"/>
      <c r="AB109" s="77"/>
      <c r="AC109" s="77"/>
    </row>
    <row r="110" spans="12:29">
      <c r="L110" s="77"/>
      <c r="M110" s="119">
        <f t="shared" si="10"/>
        <v>42552</v>
      </c>
      <c r="N110" s="77">
        <f t="shared" si="9"/>
        <v>65</v>
      </c>
      <c r="O110" s="77"/>
      <c r="P110" s="77"/>
      <c r="Q110" s="81">
        <v>42370</v>
      </c>
      <c r="R110" s="82">
        <f t="shared" si="11"/>
        <v>65</v>
      </c>
      <c r="S110" s="77"/>
      <c r="T110" s="77"/>
      <c r="U110" s="77"/>
      <c r="V110" s="77"/>
      <c r="W110" s="77"/>
      <c r="X110" s="77"/>
      <c r="Y110" s="77"/>
      <c r="Z110" s="77"/>
      <c r="AA110" s="77"/>
      <c r="AB110" s="77"/>
      <c r="AC110" s="77"/>
    </row>
    <row r="111" spans="12:29">
      <c r="L111" s="77"/>
      <c r="M111" s="119">
        <f t="shared" si="10"/>
        <v>42583</v>
      </c>
      <c r="N111" s="77">
        <f t="shared" si="9"/>
        <v>65</v>
      </c>
      <c r="O111" s="77"/>
      <c r="P111" s="77"/>
      <c r="Q111" s="81">
        <v>42401</v>
      </c>
      <c r="R111" s="82">
        <f t="shared" si="11"/>
        <v>65</v>
      </c>
      <c r="S111" s="77"/>
      <c r="T111" s="77"/>
      <c r="U111" s="77"/>
      <c r="V111" s="77"/>
      <c r="W111" s="77"/>
      <c r="X111" s="77"/>
      <c r="Y111" s="77"/>
      <c r="Z111" s="77"/>
      <c r="AA111" s="77"/>
      <c r="AB111" s="77"/>
      <c r="AC111" s="77"/>
    </row>
    <row r="112" spans="12:29">
      <c r="L112" s="77"/>
      <c r="M112" s="119">
        <f t="shared" si="10"/>
        <v>42614</v>
      </c>
      <c r="N112" s="77">
        <f t="shared" si="9"/>
        <v>65</v>
      </c>
      <c r="O112" s="77"/>
      <c r="P112" s="77"/>
      <c r="Q112" s="81">
        <v>42430</v>
      </c>
      <c r="R112" s="82">
        <f t="shared" si="11"/>
        <v>65</v>
      </c>
      <c r="S112" s="77"/>
      <c r="T112" s="77"/>
      <c r="U112" s="77"/>
      <c r="V112" s="77"/>
      <c r="W112" s="77"/>
      <c r="X112" s="77"/>
      <c r="Y112" s="77"/>
      <c r="Z112" s="77"/>
      <c r="AA112" s="77"/>
      <c r="AB112" s="77"/>
      <c r="AC112" s="77"/>
    </row>
    <row r="113" spans="12:29">
      <c r="L113" s="77"/>
      <c r="M113" s="119">
        <f t="shared" si="10"/>
        <v>42644</v>
      </c>
      <c r="N113" s="77">
        <f t="shared" si="9"/>
        <v>65</v>
      </c>
      <c r="O113" s="77"/>
      <c r="P113" s="77"/>
      <c r="Q113" s="81">
        <v>42461</v>
      </c>
      <c r="R113" s="82">
        <f t="shared" si="11"/>
        <v>65</v>
      </c>
      <c r="S113" s="77"/>
      <c r="T113" s="77"/>
      <c r="U113" s="77"/>
      <c r="V113" s="77"/>
      <c r="W113" s="77"/>
      <c r="X113" s="77"/>
      <c r="Y113" s="77"/>
      <c r="Z113" s="77"/>
      <c r="AA113" s="77"/>
      <c r="AB113" s="77"/>
      <c r="AC113" s="77"/>
    </row>
    <row r="114" spans="12:29">
      <c r="L114" s="77"/>
      <c r="M114" s="119">
        <f t="shared" si="10"/>
        <v>42675</v>
      </c>
      <c r="N114" s="77">
        <f t="shared" si="9"/>
        <v>65</v>
      </c>
      <c r="O114" s="77"/>
      <c r="P114" s="77"/>
      <c r="Q114" s="81">
        <v>42491</v>
      </c>
      <c r="R114" s="82">
        <f t="shared" si="11"/>
        <v>65</v>
      </c>
      <c r="S114" s="77"/>
      <c r="T114" s="77"/>
      <c r="U114" s="77"/>
      <c r="V114" s="77"/>
      <c r="W114" s="77"/>
      <c r="X114" s="77"/>
      <c r="Y114" s="77"/>
      <c r="Z114" s="77"/>
      <c r="AA114" s="77"/>
      <c r="AB114" s="77"/>
      <c r="AC114" s="77"/>
    </row>
    <row r="115" spans="12:29">
      <c r="L115" s="77"/>
      <c r="M115" s="119">
        <f t="shared" si="10"/>
        <v>42705</v>
      </c>
      <c r="N115" s="77">
        <f t="shared" si="9"/>
        <v>65</v>
      </c>
      <c r="O115" s="77"/>
      <c r="P115" s="77"/>
      <c r="Q115" s="81">
        <v>42522</v>
      </c>
      <c r="R115" s="82">
        <f t="shared" si="11"/>
        <v>65</v>
      </c>
      <c r="S115" s="77"/>
      <c r="T115" s="77"/>
      <c r="U115" s="77"/>
      <c r="V115" s="77"/>
      <c r="W115" s="77"/>
      <c r="X115" s="77"/>
      <c r="Y115" s="77"/>
      <c r="Z115" s="77"/>
      <c r="AA115" s="77"/>
      <c r="AB115" s="77"/>
      <c r="AC115" s="77"/>
    </row>
    <row r="116" spans="12:29">
      <c r="L116" s="77"/>
      <c r="M116" s="119">
        <f>EDATE(M115,1)</f>
        <v>42736</v>
      </c>
      <c r="N116" s="77">
        <f t="shared" si="9"/>
        <v>65</v>
      </c>
      <c r="O116" s="77"/>
      <c r="P116" s="77"/>
      <c r="Q116" s="81">
        <v>42552</v>
      </c>
      <c r="R116" s="82">
        <f t="shared" si="11"/>
        <v>65</v>
      </c>
      <c r="S116" s="77"/>
      <c r="T116" s="77"/>
      <c r="U116" s="77"/>
      <c r="V116" s="77"/>
      <c r="W116" s="77"/>
      <c r="X116" s="77"/>
      <c r="Y116" s="77"/>
      <c r="Z116" s="77"/>
      <c r="AA116" s="77"/>
      <c r="AB116" s="77"/>
      <c r="AC116" s="77"/>
    </row>
    <row r="117" spans="12:29">
      <c r="L117" s="77"/>
      <c r="M117" s="119">
        <f t="shared" si="10"/>
        <v>42767</v>
      </c>
      <c r="N117" s="77">
        <f t="shared" si="9"/>
        <v>65</v>
      </c>
      <c r="O117" s="77"/>
      <c r="P117" s="77"/>
      <c r="Q117" s="81">
        <v>42583</v>
      </c>
      <c r="R117" s="82">
        <f t="shared" si="11"/>
        <v>65</v>
      </c>
      <c r="S117" s="77"/>
      <c r="T117" s="77"/>
      <c r="U117" s="77"/>
      <c r="V117" s="77"/>
      <c r="W117" s="77"/>
      <c r="X117" s="77"/>
      <c r="Y117" s="77"/>
      <c r="Z117" s="77"/>
      <c r="AA117" s="77"/>
      <c r="AB117" s="77"/>
      <c r="AC117" s="77"/>
    </row>
    <row r="118" spans="12:29">
      <c r="L118" s="77"/>
      <c r="M118" s="119">
        <f t="shared" si="10"/>
        <v>42795</v>
      </c>
      <c r="N118" s="77">
        <f t="shared" si="9"/>
        <v>65</v>
      </c>
      <c r="O118" s="77"/>
      <c r="P118" s="77"/>
      <c r="Q118" s="81">
        <v>42614</v>
      </c>
      <c r="R118" s="82">
        <f t="shared" si="11"/>
        <v>65</v>
      </c>
      <c r="S118" s="77"/>
      <c r="T118" s="77"/>
      <c r="U118" s="77"/>
      <c r="V118" s="77"/>
      <c r="W118" s="77"/>
      <c r="X118" s="77"/>
      <c r="Y118" s="77"/>
      <c r="Z118" s="77"/>
      <c r="AA118" s="77"/>
      <c r="AB118" s="77"/>
      <c r="AC118" s="77"/>
    </row>
    <row r="119" spans="12:29">
      <c r="L119" s="77"/>
      <c r="M119" s="119">
        <f t="shared" si="10"/>
        <v>42826</v>
      </c>
      <c r="N119" s="77">
        <f t="shared" si="9"/>
        <v>65</v>
      </c>
      <c r="O119" s="77"/>
      <c r="P119" s="77"/>
      <c r="Q119" s="81">
        <v>42644</v>
      </c>
      <c r="R119" s="82">
        <f t="shared" si="11"/>
        <v>65</v>
      </c>
      <c r="S119" s="77"/>
      <c r="T119" s="77"/>
      <c r="U119" s="77"/>
      <c r="V119" s="77"/>
      <c r="W119" s="77"/>
      <c r="X119" s="77"/>
      <c r="Y119" s="77"/>
      <c r="Z119" s="77"/>
      <c r="AA119" s="77"/>
      <c r="AB119" s="77"/>
      <c r="AC119" s="77"/>
    </row>
    <row r="120" spans="12:29">
      <c r="L120" s="77"/>
      <c r="M120" s="119">
        <f t="shared" si="10"/>
        <v>42856</v>
      </c>
      <c r="N120" s="77">
        <f t="shared" si="9"/>
        <v>65</v>
      </c>
      <c r="O120" s="77"/>
      <c r="P120" s="77"/>
      <c r="Q120" s="81">
        <v>42675</v>
      </c>
      <c r="R120" s="82">
        <f t="shared" si="11"/>
        <v>65</v>
      </c>
      <c r="S120" s="77"/>
      <c r="T120" s="77"/>
      <c r="U120" s="77"/>
      <c r="V120" s="77"/>
      <c r="W120" s="77"/>
      <c r="X120" s="77"/>
      <c r="Y120" s="77"/>
      <c r="Z120" s="77"/>
      <c r="AA120" s="77"/>
      <c r="AB120" s="77"/>
      <c r="AC120" s="77"/>
    </row>
    <row r="121" spans="12:29">
      <c r="L121" s="77"/>
      <c r="M121" s="119">
        <f t="shared" si="10"/>
        <v>42887</v>
      </c>
      <c r="N121" s="77">
        <f t="shared" si="9"/>
        <v>65</v>
      </c>
      <c r="O121" s="77"/>
      <c r="P121" s="77"/>
      <c r="Q121" s="81">
        <v>42705</v>
      </c>
      <c r="R121" s="82">
        <f t="shared" si="11"/>
        <v>65</v>
      </c>
      <c r="S121" s="77"/>
      <c r="T121" s="77"/>
      <c r="U121" s="77"/>
      <c r="V121" s="77"/>
      <c r="W121" s="77"/>
      <c r="X121" s="77"/>
      <c r="Y121" s="77"/>
      <c r="Z121" s="77"/>
      <c r="AA121" s="77"/>
      <c r="AB121" s="77"/>
      <c r="AC121" s="77"/>
    </row>
    <row r="122" spans="12:29">
      <c r="L122" s="77"/>
      <c r="M122" s="119">
        <f t="shared" si="10"/>
        <v>42917</v>
      </c>
      <c r="N122" s="77">
        <f t="shared" si="9"/>
        <v>65</v>
      </c>
      <c r="O122" s="77"/>
      <c r="P122" s="77"/>
      <c r="Q122" s="81">
        <v>42736</v>
      </c>
      <c r="R122" s="82">
        <f t="shared" si="11"/>
        <v>65</v>
      </c>
      <c r="S122" s="77"/>
      <c r="T122" s="77"/>
      <c r="U122" s="77"/>
      <c r="V122" s="77"/>
      <c r="W122" s="77"/>
      <c r="X122" s="77"/>
      <c r="Y122" s="77"/>
      <c r="Z122" s="77"/>
      <c r="AA122" s="77"/>
      <c r="AB122" s="77"/>
      <c r="AC122" s="77"/>
    </row>
    <row r="123" spans="12:29">
      <c r="L123" s="77"/>
      <c r="M123" s="119">
        <f t="shared" si="10"/>
        <v>42948</v>
      </c>
      <c r="N123" s="77">
        <f t="shared" si="9"/>
        <v>65</v>
      </c>
      <c r="O123" s="77"/>
      <c r="P123" s="77"/>
      <c r="Q123" s="81">
        <v>42767</v>
      </c>
      <c r="R123" s="82">
        <f t="shared" si="11"/>
        <v>65</v>
      </c>
      <c r="S123" s="77"/>
      <c r="T123" s="77"/>
      <c r="U123" s="77"/>
      <c r="V123" s="77"/>
      <c r="W123" s="77"/>
      <c r="X123" s="77"/>
      <c r="Y123" s="77"/>
      <c r="Z123" s="77"/>
      <c r="AA123" s="77"/>
      <c r="AB123" s="77"/>
      <c r="AC123" s="77"/>
    </row>
    <row r="124" spans="12:29">
      <c r="L124" s="77"/>
      <c r="M124" s="119">
        <f t="shared" si="10"/>
        <v>42979</v>
      </c>
      <c r="N124" s="77">
        <f t="shared" si="9"/>
        <v>65</v>
      </c>
      <c r="O124" s="77"/>
      <c r="P124" s="77"/>
      <c r="Q124" s="81">
        <v>42795</v>
      </c>
      <c r="R124" s="82">
        <f t="shared" si="11"/>
        <v>65</v>
      </c>
      <c r="S124" s="77"/>
      <c r="T124" s="77"/>
      <c r="U124" s="77"/>
      <c r="V124" s="77"/>
      <c r="W124" s="77"/>
      <c r="X124" s="77"/>
      <c r="Y124" s="77"/>
      <c r="Z124" s="77"/>
      <c r="AA124" s="77"/>
      <c r="AB124" s="77"/>
      <c r="AC124" s="77"/>
    </row>
    <row r="125" spans="12:29">
      <c r="L125" s="77"/>
      <c r="M125" s="119">
        <f t="shared" si="10"/>
        <v>43009</v>
      </c>
      <c r="N125" s="77">
        <f t="shared" si="9"/>
        <v>65</v>
      </c>
      <c r="O125" s="77"/>
      <c r="P125" s="77"/>
      <c r="Q125" s="81">
        <v>42826</v>
      </c>
      <c r="R125" s="82">
        <f t="shared" si="11"/>
        <v>65</v>
      </c>
      <c r="S125" s="77"/>
      <c r="T125" s="77"/>
      <c r="U125" s="77"/>
      <c r="V125" s="77"/>
      <c r="W125" s="77"/>
      <c r="X125" s="77"/>
      <c r="Y125" s="77"/>
      <c r="Z125" s="77"/>
      <c r="AA125" s="77"/>
      <c r="AB125" s="77"/>
      <c r="AC125" s="77"/>
    </row>
    <row r="126" spans="12:29">
      <c r="L126" s="77"/>
      <c r="M126" s="119">
        <f t="shared" si="10"/>
        <v>43040</v>
      </c>
      <c r="N126" s="77">
        <f t="shared" si="9"/>
        <v>65</v>
      </c>
      <c r="O126" s="77"/>
      <c r="P126" s="77"/>
      <c r="Q126" s="81">
        <v>42856</v>
      </c>
      <c r="R126" s="82">
        <f t="shared" si="11"/>
        <v>65</v>
      </c>
      <c r="S126" s="77"/>
      <c r="T126" s="77"/>
      <c r="U126" s="77"/>
      <c r="V126" s="77"/>
      <c r="W126" s="77"/>
      <c r="X126" s="77"/>
      <c r="Y126" s="77"/>
      <c r="Z126" s="77"/>
      <c r="AA126" s="77"/>
      <c r="AB126" s="77"/>
      <c r="AC126" s="77"/>
    </row>
    <row r="127" spans="12:29">
      <c r="L127" s="77"/>
      <c r="M127" s="119">
        <f t="shared" si="10"/>
        <v>43070</v>
      </c>
      <c r="N127" s="77">
        <f t="shared" ref="N127:N130" si="12">IF(C$21="","",IF(M127=C$21,D$21,IF(M127=C$22,D$22,IF(M127=C$23,D$23,IF(M127=C$24,D$24,IF(M127=C$25,D$25,IF(M127=C$26,D$26,IF(M127=C$27,D$27,IF(M127=C$28,D$28,IF(M127=C$29,D$29,IF(M127=C$30,D$30,N126)))))))))))</f>
        <v>65</v>
      </c>
      <c r="O127" s="77"/>
      <c r="P127" s="77"/>
      <c r="Q127" s="81">
        <v>42887</v>
      </c>
      <c r="R127" s="82">
        <f t="shared" si="11"/>
        <v>65</v>
      </c>
      <c r="S127" s="77"/>
      <c r="T127" s="77"/>
      <c r="U127" s="77"/>
      <c r="V127" s="77"/>
      <c r="W127" s="77"/>
      <c r="X127" s="77"/>
      <c r="Y127" s="77"/>
      <c r="Z127" s="77"/>
      <c r="AA127" s="77"/>
      <c r="AB127" s="77"/>
      <c r="AC127" s="77"/>
    </row>
    <row r="128" spans="12:29">
      <c r="L128" s="77"/>
      <c r="M128" s="119">
        <f t="shared" ref="M128:M130" si="13">EDATE(M127,1)</f>
        <v>43101</v>
      </c>
      <c r="N128" s="77">
        <f t="shared" si="12"/>
        <v>65</v>
      </c>
      <c r="O128" s="77"/>
      <c r="P128" s="77"/>
      <c r="Q128" s="81"/>
      <c r="R128" s="77"/>
      <c r="S128" s="77"/>
      <c r="T128" s="77"/>
      <c r="U128" s="77"/>
      <c r="V128" s="77"/>
      <c r="W128" s="77"/>
      <c r="X128" s="77"/>
      <c r="Y128" s="77"/>
      <c r="Z128" s="77"/>
      <c r="AA128" s="77"/>
      <c r="AB128" s="77"/>
      <c r="AC128" s="77"/>
    </row>
    <row r="129" spans="12:29">
      <c r="L129" s="77"/>
      <c r="M129" s="119">
        <f t="shared" si="13"/>
        <v>43132</v>
      </c>
      <c r="N129" s="77">
        <f t="shared" si="12"/>
        <v>65</v>
      </c>
      <c r="O129" s="77"/>
      <c r="P129" s="77"/>
      <c r="Q129" s="81"/>
      <c r="R129" s="77"/>
      <c r="S129" s="77"/>
      <c r="T129" s="77"/>
      <c r="U129" s="77"/>
      <c r="V129" s="77"/>
      <c r="W129" s="77"/>
      <c r="X129" s="77"/>
      <c r="Y129" s="77"/>
      <c r="Z129" s="77"/>
      <c r="AA129" s="77"/>
      <c r="AB129" s="77"/>
      <c r="AC129" s="77"/>
    </row>
    <row r="130" spans="12:29">
      <c r="L130" s="77"/>
      <c r="M130" s="119">
        <f t="shared" si="13"/>
        <v>43160</v>
      </c>
      <c r="N130" s="77">
        <f t="shared" si="12"/>
        <v>65</v>
      </c>
      <c r="O130" s="77"/>
      <c r="P130" s="77"/>
      <c r="Q130" s="81"/>
      <c r="R130" s="77"/>
      <c r="S130" s="77"/>
      <c r="T130" s="77"/>
      <c r="U130" s="77"/>
      <c r="V130" s="77"/>
      <c r="W130" s="77"/>
      <c r="X130" s="77"/>
      <c r="Y130" s="77"/>
      <c r="Z130" s="77"/>
      <c r="AA130" s="77"/>
      <c r="AB130" s="77"/>
      <c r="AC130" s="77"/>
    </row>
    <row r="131" spans="12:29">
      <c r="L131" s="77"/>
      <c r="M131" s="77"/>
      <c r="N131" s="77"/>
      <c r="O131" s="77"/>
      <c r="P131" s="77"/>
      <c r="Q131" s="81"/>
      <c r="R131" s="77"/>
      <c r="S131" s="77"/>
      <c r="T131" s="77"/>
      <c r="U131" s="77"/>
      <c r="V131" s="77"/>
      <c r="W131" s="77"/>
      <c r="X131" s="77"/>
      <c r="Y131" s="77"/>
      <c r="Z131" s="77"/>
      <c r="AA131" s="77"/>
      <c r="AB131" s="77"/>
      <c r="AC131" s="77"/>
    </row>
    <row r="132" spans="12:29">
      <c r="L132" s="77"/>
      <c r="M132" s="77"/>
      <c r="N132" s="77"/>
      <c r="O132" s="77"/>
      <c r="P132" s="77"/>
      <c r="Q132" s="81"/>
      <c r="R132" s="77"/>
      <c r="S132" s="77"/>
      <c r="T132" s="77"/>
      <c r="U132" s="77"/>
      <c r="V132" s="77"/>
      <c r="W132" s="77"/>
      <c r="X132" s="77"/>
      <c r="Y132" s="77"/>
      <c r="Z132" s="77"/>
      <c r="AA132" s="77"/>
      <c r="AB132" s="77"/>
      <c r="AC132" s="77"/>
    </row>
    <row r="133" spans="12:29">
      <c r="L133" s="77"/>
      <c r="M133" s="77"/>
      <c r="N133" s="77"/>
      <c r="O133" s="77"/>
      <c r="P133" s="77"/>
      <c r="Q133" s="81"/>
      <c r="R133" s="77"/>
      <c r="S133" s="77"/>
      <c r="T133" s="77"/>
      <c r="U133" s="77"/>
      <c r="V133" s="77"/>
      <c r="W133" s="77"/>
      <c r="X133" s="77"/>
      <c r="Y133" s="77"/>
      <c r="Z133" s="77"/>
      <c r="AA133" s="77"/>
      <c r="AB133" s="77"/>
      <c r="AC133" s="77"/>
    </row>
    <row r="134" spans="12:29">
      <c r="L134" s="77"/>
      <c r="M134" s="77"/>
      <c r="N134" s="77"/>
      <c r="O134" s="77"/>
      <c r="P134" s="77"/>
      <c r="Q134" s="81"/>
      <c r="R134" s="77"/>
      <c r="S134" s="77"/>
      <c r="T134" s="77"/>
      <c r="U134" s="77"/>
      <c r="V134" s="77"/>
      <c r="W134" s="77"/>
      <c r="X134" s="77"/>
      <c r="Y134" s="77"/>
      <c r="Z134" s="77"/>
      <c r="AA134" s="77"/>
      <c r="AB134" s="77"/>
      <c r="AC134" s="77"/>
    </row>
    <row r="135" spans="12:29">
      <c r="L135" s="77"/>
      <c r="M135" s="77"/>
      <c r="N135" s="77"/>
      <c r="O135" s="77"/>
      <c r="P135" s="77"/>
      <c r="Q135" s="81"/>
      <c r="R135" s="77"/>
      <c r="S135" s="77"/>
      <c r="T135" s="77"/>
      <c r="U135" s="77"/>
      <c r="V135" s="77"/>
      <c r="W135" s="77"/>
      <c r="X135" s="77"/>
      <c r="Y135" s="77"/>
      <c r="Z135" s="77"/>
      <c r="AA135" s="77"/>
      <c r="AB135" s="77"/>
      <c r="AC135" s="77"/>
    </row>
    <row r="136" spans="12:29">
      <c r="L136" s="77"/>
      <c r="M136" s="77"/>
      <c r="N136" s="77"/>
      <c r="O136" s="77"/>
      <c r="P136" s="77"/>
      <c r="Q136" s="81"/>
      <c r="R136" s="77"/>
      <c r="S136" s="77"/>
      <c r="T136" s="77"/>
      <c r="U136" s="77"/>
      <c r="V136" s="77"/>
      <c r="W136" s="77"/>
      <c r="X136" s="77"/>
      <c r="Y136" s="77"/>
      <c r="Z136" s="77"/>
      <c r="AA136" s="77"/>
      <c r="AB136" s="77"/>
      <c r="AC136" s="77"/>
    </row>
    <row r="137" spans="12:29">
      <c r="L137" s="77"/>
      <c r="M137" s="77"/>
      <c r="N137" s="77"/>
      <c r="O137" s="77"/>
      <c r="P137" s="77"/>
      <c r="Q137" s="81"/>
      <c r="R137" s="77"/>
      <c r="S137" s="77"/>
      <c r="T137" s="77"/>
      <c r="U137" s="77"/>
      <c r="V137" s="77"/>
      <c r="W137" s="77"/>
      <c r="X137" s="77"/>
      <c r="Y137" s="77"/>
      <c r="Z137" s="77"/>
      <c r="AA137" s="77"/>
      <c r="AB137" s="77"/>
      <c r="AC137" s="77"/>
    </row>
    <row r="138" spans="12:29">
      <c r="L138" s="77"/>
      <c r="M138" s="77"/>
      <c r="N138" s="77"/>
      <c r="O138" s="77"/>
      <c r="P138" s="77"/>
      <c r="Q138" s="81"/>
      <c r="R138" s="77"/>
      <c r="S138" s="77"/>
      <c r="T138" s="77"/>
      <c r="U138" s="77"/>
      <c r="V138" s="77"/>
      <c r="W138" s="77"/>
      <c r="X138" s="77"/>
      <c r="Y138" s="77"/>
      <c r="Z138" s="77"/>
      <c r="AA138" s="77"/>
      <c r="AB138" s="77"/>
      <c r="AC138" s="77"/>
    </row>
    <row r="139" spans="12:29">
      <c r="L139" s="77"/>
      <c r="M139" s="77"/>
      <c r="N139" s="77"/>
      <c r="O139" s="77"/>
      <c r="P139" s="77"/>
      <c r="Q139" s="81"/>
      <c r="R139" s="77"/>
      <c r="S139" s="77"/>
      <c r="T139" s="77"/>
      <c r="U139" s="77"/>
      <c r="V139" s="77"/>
      <c r="W139" s="77"/>
      <c r="X139" s="77"/>
      <c r="Y139" s="77"/>
      <c r="Z139" s="77"/>
      <c r="AA139" s="77"/>
      <c r="AB139" s="77"/>
      <c r="AC139" s="77"/>
    </row>
    <row r="140" spans="12:29">
      <c r="L140" s="77"/>
      <c r="M140" s="77"/>
      <c r="N140" s="77"/>
      <c r="O140" s="77"/>
      <c r="P140" s="77"/>
      <c r="Q140" s="81"/>
      <c r="R140" s="77"/>
      <c r="S140" s="77"/>
      <c r="T140" s="77"/>
      <c r="U140" s="77"/>
      <c r="V140" s="77"/>
      <c r="W140" s="77"/>
      <c r="X140" s="77"/>
      <c r="Y140" s="77"/>
      <c r="Z140" s="77"/>
      <c r="AA140" s="77"/>
      <c r="AB140" s="77"/>
      <c r="AC140" s="77"/>
    </row>
  </sheetData>
  <sheetProtection password="C5EF" sheet="1" objects="1" scenarios="1"/>
  <protectedRanges>
    <protectedRange sqref="C21:D30" name="Range2"/>
    <protectedRange sqref="B1:C12 A14:J18" name="Range1"/>
  </protectedRanges>
  <mergeCells count="17">
    <mergeCell ref="B1:C1"/>
    <mergeCell ref="B2:C2"/>
    <mergeCell ref="E1:H2"/>
    <mergeCell ref="E6:H6"/>
    <mergeCell ref="B7:C7"/>
    <mergeCell ref="E3:H5"/>
    <mergeCell ref="E7:H9"/>
    <mergeCell ref="B3:C3"/>
    <mergeCell ref="B4:C4"/>
    <mergeCell ref="B5:C5"/>
    <mergeCell ref="B6:C6"/>
    <mergeCell ref="B12:C12"/>
    <mergeCell ref="B10:C10"/>
    <mergeCell ref="B11:C11"/>
    <mergeCell ref="E11:H11"/>
    <mergeCell ref="B8:C8"/>
    <mergeCell ref="B9:C9"/>
  </mergeCells>
  <pageMargins left="0.7" right="0.7" top="0.75" bottom="0.75" header="0.3" footer="0.3"/>
  <pageSetup paperSize="5" orientation="portrait" verticalDpi="0" r:id="rId1"/>
</worksheet>
</file>

<file path=xl/worksheets/sheet2.xml><?xml version="1.0" encoding="utf-8"?>
<worksheet xmlns="http://schemas.openxmlformats.org/spreadsheetml/2006/main" xmlns:r="http://schemas.openxmlformats.org/officeDocument/2006/relationships">
  <dimension ref="A1:X40"/>
  <sheetViews>
    <sheetView workbookViewId="0">
      <selection activeCell="I13" sqref="I13"/>
    </sheetView>
  </sheetViews>
  <sheetFormatPr defaultRowHeight="15"/>
  <cols>
    <col min="1" max="1" width="3.42578125" customWidth="1"/>
    <col min="2" max="2" width="14.28515625" customWidth="1"/>
    <col min="3" max="3" width="23.42578125" customWidth="1"/>
    <col min="4" max="4" width="0" hidden="1" customWidth="1"/>
    <col min="5" max="5" width="8.140625" customWidth="1"/>
    <col min="6" max="6" width="11.28515625" customWidth="1"/>
    <col min="7" max="7" width="9" customWidth="1"/>
    <col min="8" max="8" width="4.5703125" customWidth="1"/>
    <col min="9" max="9" width="12.140625" customWidth="1"/>
    <col min="10" max="10" width="7" customWidth="1"/>
    <col min="11" max="11" width="6.5703125" customWidth="1"/>
    <col min="12" max="12" width="8.140625" customWidth="1"/>
    <col min="13" max="13" width="11.5703125" customWidth="1"/>
    <col min="14" max="14" width="10.5703125" customWidth="1"/>
    <col min="22" max="22" width="7.140625" customWidth="1"/>
  </cols>
  <sheetData>
    <row r="1" spans="1:24">
      <c r="A1" s="141" t="s">
        <v>31</v>
      </c>
      <c r="B1" s="141"/>
      <c r="C1" s="141"/>
      <c r="D1" s="141"/>
      <c r="E1" s="141"/>
      <c r="F1" s="141"/>
      <c r="G1" s="141"/>
      <c r="H1" s="141"/>
      <c r="I1" s="141"/>
      <c r="J1" s="141"/>
      <c r="K1" s="141"/>
      <c r="L1" s="141"/>
      <c r="M1" s="141"/>
      <c r="N1" s="141"/>
    </row>
    <row r="2" spans="1:24">
      <c r="A2" s="9" t="str">
        <f>"Office Name :  "&amp;Data!B1&amp;"("&amp;Data!B8&amp;")"</f>
        <v>Office Name :  PATEL SSS BEAWAR(16094)</v>
      </c>
      <c r="B2" s="9"/>
      <c r="C2" s="9"/>
      <c r="D2" s="9"/>
      <c r="E2" s="9"/>
      <c r="F2" s="9" t="str">
        <f>"Bill No.&amp; Date : "&amp;Data!B9&amp;"-"&amp;Data!B10</f>
        <v>Bill No.&amp; Date : 3-9/04/2012</v>
      </c>
      <c r="G2" s="9"/>
      <c r="H2" s="9"/>
      <c r="J2" s="9" t="str">
        <f>"DDO Code : "&amp;Data!B7</f>
        <v>DDO Code : 16094</v>
      </c>
      <c r="K2" s="9"/>
      <c r="N2" s="20" t="str">
        <f>Data!B2</f>
        <v>Apr-12</v>
      </c>
    </row>
    <row r="3" spans="1:24" ht="14.25" customHeight="1">
      <c r="A3" s="21" t="s">
        <v>32</v>
      </c>
      <c r="B3" s="21" t="s">
        <v>33</v>
      </c>
      <c r="C3" s="21" t="s">
        <v>34</v>
      </c>
      <c r="D3" s="21"/>
      <c r="E3" s="22"/>
      <c r="F3" s="142" t="s">
        <v>35</v>
      </c>
      <c r="G3" s="143"/>
      <c r="H3" s="144"/>
      <c r="I3" s="21"/>
      <c r="J3" s="142" t="s">
        <v>36</v>
      </c>
      <c r="K3" s="143"/>
      <c r="L3" s="144"/>
      <c r="M3" s="21"/>
      <c r="N3" s="21"/>
    </row>
    <row r="4" spans="1:24" ht="14.25" customHeight="1">
      <c r="A4" s="23" t="s">
        <v>37</v>
      </c>
      <c r="B4" s="23" t="s">
        <v>38</v>
      </c>
      <c r="C4" s="23" t="s">
        <v>19</v>
      </c>
      <c r="D4" s="23"/>
      <c r="E4" s="24"/>
      <c r="F4" s="145"/>
      <c r="G4" s="146"/>
      <c r="H4" s="147"/>
      <c r="I4" s="23" t="s">
        <v>39</v>
      </c>
      <c r="J4" s="145"/>
      <c r="K4" s="146"/>
      <c r="L4" s="147"/>
      <c r="M4" s="23" t="s">
        <v>40</v>
      </c>
      <c r="N4" s="23"/>
      <c r="T4" s="77"/>
      <c r="U4" s="77"/>
      <c r="V4" s="77"/>
      <c r="W4" s="77"/>
      <c r="X4" s="77"/>
    </row>
    <row r="5" spans="1:24" ht="14.25" customHeight="1">
      <c r="A5" s="23"/>
      <c r="B5" s="23" t="s">
        <v>41</v>
      </c>
      <c r="C5" s="23" t="s">
        <v>42</v>
      </c>
      <c r="D5" s="23"/>
      <c r="E5" s="24"/>
      <c r="F5" s="145"/>
      <c r="G5" s="146"/>
      <c r="H5" s="147"/>
      <c r="I5" s="23" t="s">
        <v>43</v>
      </c>
      <c r="J5" s="145"/>
      <c r="K5" s="146"/>
      <c r="L5" s="147"/>
      <c r="M5" s="23" t="s">
        <v>44</v>
      </c>
      <c r="N5" s="23" t="s">
        <v>45</v>
      </c>
      <c r="T5" s="77"/>
      <c r="U5" s="77"/>
      <c r="V5" s="77"/>
      <c r="W5" s="77"/>
      <c r="X5" s="77"/>
    </row>
    <row r="6" spans="1:24" ht="14.25" customHeight="1">
      <c r="A6" s="25"/>
      <c r="B6" s="25" t="s">
        <v>46</v>
      </c>
      <c r="C6" s="25" t="s">
        <v>47</v>
      </c>
      <c r="D6" s="25"/>
      <c r="E6" s="26"/>
      <c r="F6" s="148"/>
      <c r="G6" s="149"/>
      <c r="H6" s="150"/>
      <c r="I6" s="25"/>
      <c r="J6" s="148"/>
      <c r="K6" s="149"/>
      <c r="L6" s="150"/>
      <c r="M6" s="25"/>
      <c r="N6" s="25"/>
      <c r="T6" s="77"/>
      <c r="U6" s="77"/>
      <c r="V6" s="77"/>
      <c r="W6" s="77"/>
      <c r="X6" s="77"/>
    </row>
    <row r="7" spans="1:24" ht="14.25" customHeight="1">
      <c r="A7" s="151" t="s">
        <v>87</v>
      </c>
      <c r="B7" s="151"/>
      <c r="C7" s="152"/>
      <c r="D7" s="10"/>
      <c r="E7" s="17" t="str">
        <f>IF(C8=0,"","Pay@")</f>
        <v>Pay@</v>
      </c>
      <c r="F7" s="11" t="s">
        <v>48</v>
      </c>
      <c r="G7" s="11" t="s">
        <v>49</v>
      </c>
      <c r="H7" s="11"/>
      <c r="I7" s="28"/>
      <c r="J7" s="29" t="str">
        <f>IF(J375=0,"","ECPenF")</f>
        <v/>
      </c>
      <c r="K7" s="12"/>
      <c r="L7" s="12" t="str">
        <f>IF(L375=0,"","I tax")</f>
        <v/>
      </c>
      <c r="M7" s="30"/>
      <c r="N7" s="30"/>
      <c r="T7" s="77">
        <f>IF(W7&gt;0,1,"")</f>
        <v>1</v>
      </c>
      <c r="U7" s="77" t="s">
        <v>86</v>
      </c>
      <c r="V7" s="77">
        <v>100</v>
      </c>
      <c r="W7" s="77">
        <f>F33</f>
        <v>320447</v>
      </c>
      <c r="X7" s="77"/>
    </row>
    <row r="8" spans="1:24" ht="14.65" customHeight="1">
      <c r="A8" s="32">
        <v>1</v>
      </c>
      <c r="B8" s="85">
        <f>IF(Data!A14="","",Data!A14)</f>
        <v>74064</v>
      </c>
      <c r="C8" s="88" t="str">
        <f>Data!C14</f>
        <v>asd</v>
      </c>
      <c r="D8" s="89" t="str">
        <f>Data!D14</f>
        <v>fg</v>
      </c>
      <c r="E8" s="44">
        <f>IF(E7="","",Data!J14)</f>
        <v>11110</v>
      </c>
      <c r="F8" s="44">
        <f>Data!AA14</f>
        <v>111100</v>
      </c>
      <c r="G8" s="44">
        <f>Data!AB14</f>
        <v>72215</v>
      </c>
      <c r="H8" s="90"/>
      <c r="I8" s="91">
        <f>SUM(F8:G8)</f>
        <v>183315</v>
      </c>
      <c r="J8" s="90"/>
      <c r="K8" s="90"/>
      <c r="L8" s="90"/>
      <c r="M8" s="90">
        <f>SUM(J8:L8)</f>
        <v>0</v>
      </c>
      <c r="N8" s="92">
        <f>I8-M8</f>
        <v>183315</v>
      </c>
      <c r="T8" s="77" t="str">
        <f>IF(W8&lt;&gt;0,1,"")</f>
        <v/>
      </c>
      <c r="U8" s="77" t="s">
        <v>46</v>
      </c>
      <c r="V8" s="77">
        <v>98</v>
      </c>
      <c r="W8" s="77"/>
      <c r="X8" s="77"/>
    </row>
    <row r="9" spans="1:24" ht="14.65" customHeight="1">
      <c r="A9" s="32"/>
      <c r="B9" s="86"/>
      <c r="C9" s="90" t="str">
        <f>Data!D14</f>
        <v>fg</v>
      </c>
      <c r="D9" s="93"/>
      <c r="E9" s="31" t="str">
        <f>IF(E7="","","DA @")</f>
        <v>DA @</v>
      </c>
      <c r="F9" s="32"/>
      <c r="G9" s="32"/>
      <c r="H9" s="32"/>
      <c r="I9" s="32"/>
      <c r="J9" s="32"/>
      <c r="K9" s="94"/>
      <c r="L9" s="32"/>
      <c r="M9" s="94"/>
      <c r="N9" s="95"/>
      <c r="T9" s="77">
        <f>IF(W9&lt;&gt;0,1,"")</f>
        <v>1</v>
      </c>
      <c r="U9" s="77" t="s">
        <v>49</v>
      </c>
      <c r="V9" s="77">
        <v>104</v>
      </c>
      <c r="W9" s="77">
        <f>G33</f>
        <v>208291</v>
      </c>
      <c r="X9" s="77"/>
    </row>
    <row r="10" spans="1:24" ht="14.65" customHeight="1">
      <c r="A10" s="32"/>
      <c r="B10" s="85" t="str">
        <f>Data!AE14</f>
        <v>4750-7440(1650)</v>
      </c>
      <c r="C10" s="90" t="str">
        <f>Data!F14</f>
        <v>RJAJ198006001250</v>
      </c>
      <c r="D10" s="93"/>
      <c r="E10" s="31" t="str">
        <f>IF(E8="","",IF(Data!Y14="","",Data!Y14&amp;"%"))</f>
        <v>65%</v>
      </c>
      <c r="F10" s="32"/>
      <c r="G10" s="32"/>
      <c r="H10" s="32"/>
      <c r="I10" s="32"/>
      <c r="J10" s="32"/>
      <c r="K10" s="94"/>
      <c r="L10" s="32"/>
      <c r="M10" s="94"/>
      <c r="N10" s="95"/>
      <c r="T10" s="77"/>
      <c r="U10" s="77"/>
      <c r="V10" s="77"/>
      <c r="W10" s="77"/>
      <c r="X10" s="77"/>
    </row>
    <row r="11" spans="1:24" ht="14.65" customHeight="1">
      <c r="A11" s="32"/>
      <c r="B11" s="85"/>
      <c r="C11" s="90" t="str">
        <f>Data!G14</f>
        <v>11053612545</v>
      </c>
      <c r="D11" s="96"/>
      <c r="E11" s="31"/>
      <c r="F11" s="97"/>
      <c r="G11" s="97"/>
      <c r="H11" s="97"/>
      <c r="I11" s="97"/>
      <c r="J11" s="97"/>
      <c r="K11" s="98"/>
      <c r="L11" s="97"/>
      <c r="M11" s="98"/>
      <c r="N11" s="99"/>
      <c r="T11" s="77"/>
      <c r="U11" s="77"/>
      <c r="V11" s="77"/>
      <c r="W11" s="77"/>
      <c r="X11" s="77"/>
    </row>
    <row r="12" spans="1:24" ht="14.65" customHeight="1">
      <c r="A12" s="17"/>
      <c r="B12" s="87" t="str">
        <f>IF(Data!H14="",0,IF(Data!I14="","","PL BALANCE   "&amp;Data!I14&amp;"  days")&amp;"  Retire On "&amp;TEXT(Data!H14,"dd/mm/yyyy"))</f>
        <v>PL BALANCE   300  days  Retire On 31/05/2012</v>
      </c>
      <c r="C12" s="44"/>
      <c r="D12" s="14"/>
      <c r="E12" s="32"/>
      <c r="F12" s="17"/>
      <c r="G12" s="17"/>
      <c r="H12" s="17"/>
      <c r="I12" s="17"/>
      <c r="J12" s="17"/>
      <c r="K12" s="100"/>
      <c r="L12" s="17"/>
      <c r="M12" s="100"/>
      <c r="N12" s="101"/>
    </row>
    <row r="13" spans="1:24" ht="14.65" customHeight="1">
      <c r="A13" s="32">
        <f>IF(B13="","",2)</f>
        <v>2</v>
      </c>
      <c r="B13" s="85">
        <f>IF(Data!A15="","",Data!A15)</f>
        <v>501182</v>
      </c>
      <c r="C13" s="90" t="str">
        <f>IF(Data!C15="",0,Data!C15)</f>
        <v>asd</v>
      </c>
      <c r="D13" s="102"/>
      <c r="E13" s="32">
        <f>IF(C13=0,"",Data!J15)</f>
        <v>22430</v>
      </c>
      <c r="F13" s="103">
        <f>Data!AA15</f>
        <v>209347</v>
      </c>
      <c r="G13" s="103">
        <f>Data!AB15</f>
        <v>136076</v>
      </c>
      <c r="H13" s="103"/>
      <c r="I13" s="103">
        <f>SUM(F13:G13)</f>
        <v>345423</v>
      </c>
      <c r="J13" s="103"/>
      <c r="K13" s="103"/>
      <c r="L13" s="103"/>
      <c r="M13" s="90">
        <f>SUM(J13:L13)</f>
        <v>0</v>
      </c>
      <c r="N13" s="92">
        <f>I13-M13</f>
        <v>345423</v>
      </c>
    </row>
    <row r="14" spans="1:24" ht="14.65" customHeight="1">
      <c r="A14" s="32"/>
      <c r="B14" s="86"/>
      <c r="C14" s="90" t="str">
        <f>IF(Data!D15="",0,Data!D15)</f>
        <v>fg</v>
      </c>
      <c r="D14" s="93"/>
      <c r="E14" s="31" t="str">
        <f>IF(E13="","","DA @")</f>
        <v>DA @</v>
      </c>
      <c r="F14" s="32"/>
      <c r="G14" s="32"/>
      <c r="H14" s="32"/>
      <c r="I14" s="32"/>
      <c r="J14" s="32"/>
      <c r="K14" s="94"/>
      <c r="L14" s="32"/>
      <c r="M14" s="94"/>
      <c r="N14" s="95"/>
    </row>
    <row r="15" spans="1:24" ht="14.65" customHeight="1">
      <c r="A15" s="32"/>
      <c r="B15" s="85" t="str">
        <f>Data!AE15</f>
        <v>9300-34800(3600)</v>
      </c>
      <c r="C15" s="90" t="str">
        <f>IF(Data!C15="",0,Data!F15)</f>
        <v>RJAJ197901003555</v>
      </c>
      <c r="D15" s="93"/>
      <c r="E15" s="31" t="str">
        <f>IF(E13="","",IF(Data!Y15="","",Data!Y15&amp;"%"))</f>
        <v>65%</v>
      </c>
      <c r="F15" s="32"/>
      <c r="G15" s="32"/>
      <c r="H15" s="32"/>
      <c r="I15" s="32"/>
      <c r="J15" s="32"/>
      <c r="K15" s="94"/>
      <c r="L15" s="32"/>
      <c r="M15" s="94"/>
      <c r="N15" s="95"/>
    </row>
    <row r="16" spans="1:24" ht="14.65" customHeight="1">
      <c r="A16" s="32"/>
      <c r="B16" s="85"/>
      <c r="C16" s="104" t="str">
        <f>IF(Data!C15="",0,Data!G15)</f>
        <v>11053525255</v>
      </c>
      <c r="D16" s="96"/>
      <c r="E16" s="31"/>
      <c r="F16" s="97"/>
      <c r="G16" s="97"/>
      <c r="H16" s="97"/>
      <c r="I16" s="97"/>
      <c r="J16" s="97"/>
      <c r="K16" s="98"/>
      <c r="L16" s="97"/>
      <c r="M16" s="98"/>
      <c r="N16" s="99"/>
    </row>
    <row r="17" spans="1:14" ht="14.65" customHeight="1">
      <c r="A17" s="17"/>
      <c r="B17" s="87" t="str">
        <f>IF(Data!H15="",0,IF(Data!I15="","","PL BALANCE   "&amp;Data!I15&amp;"  days")&amp;"  Retire On "&amp;TEXT(Data!H15,"dd/mm/yyyy"))</f>
        <v>PL BALANCE   280  days  Retire On 30/06/2012</v>
      </c>
      <c r="C17" s="105"/>
      <c r="D17" s="14"/>
      <c r="E17" s="32"/>
      <c r="F17" s="17"/>
      <c r="G17" s="17"/>
      <c r="H17" s="17"/>
      <c r="I17" s="17"/>
      <c r="J17" s="17"/>
      <c r="K17" s="100"/>
      <c r="L17" s="17"/>
      <c r="M17" s="100"/>
      <c r="N17" s="101"/>
    </row>
    <row r="18" spans="1:14" ht="14.65" customHeight="1">
      <c r="A18" s="32" t="str">
        <f>IF(B18="","",3)</f>
        <v/>
      </c>
      <c r="B18" s="85" t="str">
        <f>IF(Data!A16="","",Data!A16)</f>
        <v/>
      </c>
      <c r="C18" s="90">
        <f>IF(Data!C16="",0,Data!C16)</f>
        <v>0</v>
      </c>
      <c r="D18" s="102"/>
      <c r="E18" s="32" t="str">
        <f>IF(C18=0,"",Data!J16)</f>
        <v/>
      </c>
      <c r="F18" s="103">
        <f>Data!AA16</f>
        <v>0</v>
      </c>
      <c r="G18" s="103">
        <f>Data!AB16</f>
        <v>0</v>
      </c>
      <c r="H18" s="103"/>
      <c r="I18" s="103">
        <f>SUM(F18:G18)</f>
        <v>0</v>
      </c>
      <c r="J18" s="103"/>
      <c r="K18" s="103"/>
      <c r="L18" s="103"/>
      <c r="M18" s="90">
        <f>SUM(J18:L18)</f>
        <v>0</v>
      </c>
      <c r="N18" s="92">
        <f>I18-M18</f>
        <v>0</v>
      </c>
    </row>
    <row r="19" spans="1:14" ht="14.65" customHeight="1">
      <c r="A19" s="32"/>
      <c r="B19" s="86"/>
      <c r="C19" s="90">
        <f>IF(Data!D16="",0,Data!D16)</f>
        <v>0</v>
      </c>
      <c r="D19" s="93"/>
      <c r="E19" s="31" t="str">
        <f>IF(E18="","","DA @")</f>
        <v/>
      </c>
      <c r="F19" s="32"/>
      <c r="G19" s="32"/>
      <c r="H19" s="32"/>
      <c r="I19" s="32"/>
      <c r="J19" s="32"/>
      <c r="K19" s="94"/>
      <c r="L19" s="32"/>
      <c r="M19" s="94"/>
      <c r="N19" s="95"/>
    </row>
    <row r="20" spans="1:14" ht="14.65" customHeight="1">
      <c r="A20" s="32"/>
      <c r="B20" s="85" t="str">
        <f>Data!AE16</f>
        <v/>
      </c>
      <c r="C20" s="90">
        <f>IF(Data!C16="",0,Data!F16)</f>
        <v>0</v>
      </c>
      <c r="D20" s="93"/>
      <c r="E20" s="31" t="str">
        <f>IF(E18="","",IF(Data!Y16="","",Data!Y16&amp;"%"))</f>
        <v/>
      </c>
      <c r="F20" s="32"/>
      <c r="G20" s="32"/>
      <c r="H20" s="32"/>
      <c r="I20" s="32"/>
      <c r="J20" s="32"/>
      <c r="K20" s="94"/>
      <c r="L20" s="32"/>
      <c r="M20" s="94"/>
      <c r="N20" s="95"/>
    </row>
    <row r="21" spans="1:14" ht="14.65" customHeight="1">
      <c r="A21" s="32"/>
      <c r="B21" s="85"/>
      <c r="C21" s="104">
        <f>IF(Data!C16="",0,Data!G16)</f>
        <v>0</v>
      </c>
      <c r="D21" s="96"/>
      <c r="E21" s="31"/>
      <c r="F21" s="97"/>
      <c r="G21" s="97"/>
      <c r="H21" s="97"/>
      <c r="I21" s="97"/>
      <c r="J21" s="97"/>
      <c r="K21" s="98"/>
      <c r="L21" s="97"/>
      <c r="M21" s="98"/>
      <c r="N21" s="99"/>
    </row>
    <row r="22" spans="1:14" ht="14.65" customHeight="1">
      <c r="A22" s="17"/>
      <c r="B22" s="87">
        <f>IF(Data!H16="",0,IF(Data!I16="","","PL BALANCE   "&amp;Data!I16&amp;"  days")&amp;"  Retire On "&amp;TEXT(Data!H16,"dd/mm/yyyy"))</f>
        <v>0</v>
      </c>
      <c r="C22" s="105"/>
      <c r="D22" s="14"/>
      <c r="E22" s="17"/>
      <c r="F22" s="17"/>
      <c r="G22" s="17"/>
      <c r="H22" s="17"/>
      <c r="I22" s="17"/>
      <c r="J22" s="17"/>
      <c r="K22" s="100"/>
      <c r="L22" s="17"/>
      <c r="M22" s="100"/>
      <c r="N22" s="101"/>
    </row>
    <row r="23" spans="1:14" ht="14.65" customHeight="1">
      <c r="A23" s="32" t="str">
        <f>IF(B23="","",4)</f>
        <v/>
      </c>
      <c r="B23" s="85" t="str">
        <f>IF(Data!A17="","",Data!A17)</f>
        <v/>
      </c>
      <c r="C23" s="90">
        <f>IF(Data!C17="",0,Data!C17)</f>
        <v>0</v>
      </c>
      <c r="D23" s="102"/>
      <c r="E23" s="32" t="str">
        <f>IF(C23=0,"",Data!J17)</f>
        <v/>
      </c>
      <c r="F23" s="103">
        <f>Data!AA17</f>
        <v>0</v>
      </c>
      <c r="G23" s="103">
        <f>Data!AB17</f>
        <v>0</v>
      </c>
      <c r="H23" s="103"/>
      <c r="I23" s="103">
        <f>SUM(F23:G23)</f>
        <v>0</v>
      </c>
      <c r="J23" s="103"/>
      <c r="K23" s="103"/>
      <c r="L23" s="103"/>
      <c r="M23" s="90">
        <f>SUM(J23:L23)</f>
        <v>0</v>
      </c>
      <c r="N23" s="92">
        <f>I23-M23</f>
        <v>0</v>
      </c>
    </row>
    <row r="24" spans="1:14" ht="14.65" customHeight="1">
      <c r="A24" s="32"/>
      <c r="B24" s="86"/>
      <c r="C24" s="90">
        <f>IF(Data!D17="",0,Data!D17)</f>
        <v>0</v>
      </c>
      <c r="D24" s="93"/>
      <c r="E24" s="31" t="str">
        <f>IF(E23="","","DA @")</f>
        <v/>
      </c>
      <c r="F24" s="32"/>
      <c r="G24" s="32"/>
      <c r="H24" s="32"/>
      <c r="I24" s="32"/>
      <c r="J24" s="32"/>
      <c r="K24" s="94"/>
      <c r="L24" s="32"/>
      <c r="M24" s="94"/>
      <c r="N24" s="95"/>
    </row>
    <row r="25" spans="1:14" ht="14.65" customHeight="1">
      <c r="A25" s="32"/>
      <c r="B25" s="85" t="str">
        <f>Data!AE17</f>
        <v/>
      </c>
      <c r="C25" s="90">
        <f>IF(Data!C17="",0,Data!F17)</f>
        <v>0</v>
      </c>
      <c r="D25" s="93"/>
      <c r="E25" s="31" t="str">
        <f>IF(E23="","",IF(Data!Y17="","",Data!Y17&amp;"%"))</f>
        <v/>
      </c>
      <c r="F25" s="32"/>
      <c r="G25" s="32"/>
      <c r="H25" s="32"/>
      <c r="I25" s="32"/>
      <c r="J25" s="32"/>
      <c r="K25" s="94"/>
      <c r="L25" s="32"/>
      <c r="M25" s="94"/>
      <c r="N25" s="95"/>
    </row>
    <row r="26" spans="1:14" ht="14.65" customHeight="1">
      <c r="A26" s="32"/>
      <c r="B26" s="85"/>
      <c r="C26" s="104">
        <f>IF(Data!C17="",0,Data!G17)</f>
        <v>0</v>
      </c>
      <c r="D26" s="96"/>
      <c r="E26" s="31"/>
      <c r="F26" s="97"/>
      <c r="G26" s="97"/>
      <c r="H26" s="97"/>
      <c r="I26" s="97"/>
      <c r="J26" s="97"/>
      <c r="K26" s="98"/>
      <c r="L26" s="97"/>
      <c r="M26" s="98"/>
      <c r="N26" s="99"/>
    </row>
    <row r="27" spans="1:14" ht="14.65" customHeight="1">
      <c r="A27" s="17"/>
      <c r="B27" s="87">
        <f>IF(Data!H17="",0,IF(Data!I17="","","PL BALANCE   "&amp;Data!I17&amp;"  days")&amp;"  Retire On "&amp;TEXT(Data!H17,"dd/mm/yyyy"))</f>
        <v>0</v>
      </c>
      <c r="C27" s="105"/>
      <c r="D27" s="14"/>
      <c r="E27" s="32"/>
      <c r="F27" s="17"/>
      <c r="G27" s="17"/>
      <c r="H27" s="17"/>
      <c r="I27" s="17"/>
      <c r="J27" s="17"/>
      <c r="K27" s="100"/>
      <c r="L27" s="17"/>
      <c r="M27" s="100"/>
      <c r="N27" s="101"/>
    </row>
    <row r="28" spans="1:14" ht="14.65" customHeight="1">
      <c r="A28" s="32" t="str">
        <f>IF(B28="","",5)</f>
        <v/>
      </c>
      <c r="B28" s="85" t="str">
        <f>IF(Data!A18="","",Data!A18)</f>
        <v/>
      </c>
      <c r="C28" s="90">
        <f>IF(Data!C18="",0,Data!C18)</f>
        <v>0</v>
      </c>
      <c r="D28" s="102"/>
      <c r="E28" s="32" t="str">
        <f>IF(C28=0,"",Data!J18)</f>
        <v/>
      </c>
      <c r="F28" s="103">
        <f>Data!AA18</f>
        <v>0</v>
      </c>
      <c r="G28" s="103">
        <f>Data!AB18</f>
        <v>0</v>
      </c>
      <c r="H28" s="103"/>
      <c r="I28" s="103">
        <f>SUM(F28:G28)</f>
        <v>0</v>
      </c>
      <c r="J28" s="103"/>
      <c r="K28" s="103"/>
      <c r="L28" s="103"/>
      <c r="M28" s="90">
        <f>SUM(J28:L28)</f>
        <v>0</v>
      </c>
      <c r="N28" s="92">
        <f>I28-M28</f>
        <v>0</v>
      </c>
    </row>
    <row r="29" spans="1:14" ht="14.65" customHeight="1">
      <c r="A29" s="32"/>
      <c r="B29" s="86"/>
      <c r="C29" s="90">
        <f>IF(Data!D18="",0,Data!D18)</f>
        <v>0</v>
      </c>
      <c r="D29" s="93"/>
      <c r="E29" s="31" t="str">
        <f>IF(E28="","","DA @")</f>
        <v/>
      </c>
      <c r="F29" s="32"/>
      <c r="G29" s="32"/>
      <c r="H29" s="32"/>
      <c r="I29" s="32"/>
      <c r="J29" s="32"/>
      <c r="K29" s="94"/>
      <c r="L29" s="32"/>
      <c r="M29" s="94"/>
      <c r="N29" s="95"/>
    </row>
    <row r="30" spans="1:14" ht="14.65" customHeight="1">
      <c r="A30" s="32"/>
      <c r="B30" s="85" t="str">
        <f>Data!AE18</f>
        <v/>
      </c>
      <c r="C30" s="90">
        <f>IF(Data!C18="",0,Data!F18)</f>
        <v>0</v>
      </c>
      <c r="D30" s="93"/>
      <c r="E30" s="31" t="str">
        <f>IF(E28="","",Data!Y18&amp;"%")</f>
        <v/>
      </c>
      <c r="F30" s="32"/>
      <c r="G30" s="32"/>
      <c r="H30" s="32"/>
      <c r="I30" s="32"/>
      <c r="J30" s="32"/>
      <c r="K30" s="94"/>
      <c r="L30" s="32"/>
      <c r="M30" s="94"/>
      <c r="N30" s="95"/>
    </row>
    <row r="31" spans="1:14" ht="14.65" customHeight="1">
      <c r="A31" s="32"/>
      <c r="B31" s="85"/>
      <c r="C31" s="104">
        <f>IF(Data!C18="",0,Data!G18)</f>
        <v>0</v>
      </c>
      <c r="D31" s="96"/>
      <c r="E31" s="31"/>
      <c r="F31" s="97"/>
      <c r="G31" s="97"/>
      <c r="H31" s="97"/>
      <c r="I31" s="97"/>
      <c r="J31" s="97"/>
      <c r="K31" s="98"/>
      <c r="L31" s="97"/>
      <c r="M31" s="98"/>
      <c r="N31" s="99"/>
    </row>
    <row r="32" spans="1:14" ht="14.65" customHeight="1">
      <c r="A32" s="106"/>
      <c r="B32" s="107">
        <f>IF(Data!H18="",0,IF(Data!I18="","","PL BALANCE   "&amp;Data!I18&amp;"  days")&amp;"  Retire On "&amp;TEXT(Data!H18,"dd/mm/yyyy"))</f>
        <v>0</v>
      </c>
      <c r="C32" s="106"/>
      <c r="D32" s="108"/>
      <c r="E32" s="107"/>
      <c r="F32" s="106"/>
      <c r="G32" s="106"/>
      <c r="H32" s="106"/>
      <c r="I32" s="106"/>
      <c r="J32" s="106"/>
      <c r="K32" s="106"/>
      <c r="L32" s="106"/>
      <c r="M32" s="106"/>
      <c r="N32" s="109"/>
    </row>
    <row r="33" spans="1:14">
      <c r="A33" s="34"/>
      <c r="B33" s="35"/>
      <c r="C33" s="42" t="s">
        <v>52</v>
      </c>
      <c r="D33" s="34"/>
      <c r="E33" s="36"/>
      <c r="F33" s="37">
        <f>SUM(F8:F31)</f>
        <v>320447</v>
      </c>
      <c r="G33" s="37">
        <f t="shared" ref="G33:N33" si="0">SUM(G8:G31)</f>
        <v>208291</v>
      </c>
      <c r="H33" s="37">
        <f t="shared" si="0"/>
        <v>0</v>
      </c>
      <c r="I33" s="37">
        <f t="shared" si="0"/>
        <v>528738</v>
      </c>
      <c r="J33" s="37">
        <f t="shared" si="0"/>
        <v>0</v>
      </c>
      <c r="K33" s="37">
        <f t="shared" si="0"/>
        <v>0</v>
      </c>
      <c r="L33" s="37">
        <f t="shared" si="0"/>
        <v>0</v>
      </c>
      <c r="M33" s="37">
        <f t="shared" si="0"/>
        <v>0</v>
      </c>
      <c r="N33" s="37">
        <f t="shared" si="0"/>
        <v>528738</v>
      </c>
    </row>
    <row r="34" spans="1:14" ht="19.5" customHeight="1">
      <c r="A34" s="14"/>
      <c r="B34" s="15"/>
      <c r="C34" s="16"/>
      <c r="D34" s="14"/>
      <c r="E34" s="13"/>
      <c r="F34" s="17"/>
      <c r="G34" s="14"/>
      <c r="H34" s="14"/>
      <c r="I34" s="14"/>
      <c r="J34" s="14"/>
      <c r="K34" s="18"/>
      <c r="L34" s="14"/>
      <c r="M34" s="38"/>
      <c r="N34" s="39" t="str">
        <f>"( Rs. "&amp;LOOKUP(IF(INT(RIGHT(N33,7)/100000)&gt;19,INT(RIGHT(N33,7)/1000000),IF(INT(RIGHT(N33,7)/100000)&gt;=10,INT(RIGHT(N33,7)/100000),0)),{0,1,2,3,4,5,6,7,8,9,10,11,12,13,14,15,16,17,18,19},{""," TEN "," TWENTY "," THIRTY "," FOURTY "," FIFTY "," SIXTY "," SEVENTY "," EIGHTY "," NINETY "," TEN "," ELEVEN "," TWELVE "," THIRTEEN "," FOURTEEN "," FIFTEEN "," SIXTEEN"," SEVENTEEN"," EIGHTEEN "," NINETEEN "})&amp;IF((IF(INT(RIGHT(N33,7)/100000)&gt;19,INT(RIGHT(N33,7)/1000000),IF(INT(RIGHT(N33,7)/100000)&gt;=10,INT(RIGHT(N33,7)/100000),0))+IF(INT(RIGHT(N33,7)/100000)&gt;19,INT(RIGHT(N33,6)/100000),IF(INT(RIGHT(N33,7)/100000)&gt;10,0,INT(RIGHT(N33,6)/100000))))&gt;0,LOOKUP(IF(INT(RIGHT(N33,7)/100000)&gt;19,INT(RIGHT(N33,6)/100000),IF(INT(RIGHT(N33,7)/100000)&gt;10,0,INT(RIGHT(N33,6)/100000))),{0,1,2,3,4,5,6,7,8,9,10,11,12,13,14,15,16,17,18,19},{""," ONE "," TWO "," THREE "," FOUR "," FIVE "," SIX "," SEVEN "," EIGHT "," NINE "," TEN "," ELEVEN "," TWELVE "," THIRTEEN "," FOURTEEN "," FIFTEEN "," SIXTEEN"," SEVENTEEN"," EIGHTEEN "," NINETEEN "})&amp;" Lac. "," ")&amp;LOOKUP(IF(INT(RIGHT(N33,5)/1000)&gt;19,INT(RIGHT(N33,5)/10000),IF(INT(RIGHT(N33,5)/1000)&gt;=10,INT(RIGHT(N33,5)/1000),0)),{0,1,2,3,4,5,6,7,8,9,10,11,12,13,14,15,16,17,18,19},{""," TEN "," TWENTY "," THIRTY "," FOURTY "," FIFTY "," SIXTY "," SEVENTY "," EIGHTY "," NINETY "," TEN "," ELEVEN "," TWELVE "," THIRTEEN "," FOURTEEN "," FIFTEEN "," SIXTEEN"," SEVENTEEN"," EIGHTEEN "," NINETEEN "})&amp;IF((IF(INT(RIGHT(N33,5)/1000)&gt;19,INT(RIGHT(N33,4)/1000),IF(INT(RIGHT(N33,5)/1000)&gt;10,0,INT(RIGHT(N33,4)/1000)))+IF(INT(RIGHT(N33,5)/1000)&gt;19,INT(RIGHT(N33,5)/10000),IF(INT(RIGHT(N33,5)/1000)&gt;=10,INT(RIGHT(N33,5)/1000),0)))&gt;0,LOOKUP(IF(INT(RIGHT(N33,5)/1000)&gt;19,INT(RIGHT(N33,4)/1000),IF(INT(RIGHT(N33,5)/1000)&gt;10,0,INT(RIGHT(N33,4)/1000))),{0,1,2,3,4,5,6,7,8,9,10,11,12,13,14,15,16,17,18,19},{""," ONE "," TWO "," THREE "," FOUR "," FIVE "," SIX "," SEVEN "," EIGHT "," NINE "," TEN "," ELEVEN "," TWELVE "," THIRTEEN "," FOURTEEN "," FIFTEEN "," SIXTEEN"," SEVENTEEN"," EIGHTEEN "," NINETEEN "})&amp;" Thousand "," ")&amp;IF((INT((RIGHT(N33,3))/100))&gt;0,LOOKUP(INT((RIGHT(N33,3))/100),{0,1,2,3,4,5,6,7,8,9,10,11,12,13,14,15,16,17,18,19},{""," ONE "," TWO "," THREE "," FOUR "," FIVE "," SIX "," SEVEN "," EIGHT "," NINE "," TEN "," ELEVEN "," TWELVE "," THIRTEEN "," FOURTEEN "," FIFTEEN "," SIXTEEN"," SEVENTEEN"," EIGHTEEN "," NINETEEN "})&amp;" Hundred "," ")&amp;LOOKUP(IF(INT(RIGHT(N33,2))&gt;19,INT(RIGHT(N33,2)/10),IF(INT(RIGHT(N33,2))&gt;=10,INT(RIGHT(N33,2)),0)),{0,1,2,3,4,5,6,7,8,9,10,11,12,13,14,15,16,17,18,19},{""," TEN "," TWENTY "," THIRTY "," FOURTY "," FIFTY "," SIXTY "," SEVENTY "," EIGHTY "," NINETY "," TEN "," ELEVEN "," TWELVE "," THIRTEEN "," FOURTEEN "," FIFTEEN "," SIXTEEN"," SEVENTEEN"," EIGHTEEN "," NINETEEN "})&amp;LOOKUP(IF(INT(RIGHT(N33,2))&lt;10,INT(RIGHT(N33,1)),IF(INT(RIGHT(N33,2))&lt;20,0,INT(RIGHT(N33,1)))),{0,1,2,3,4,5,6,7,8,9,10,11,12,13,14,15,16,17,18,19},{""," ONE "," TWO "," THREE "," FOUR "," FIVE "," SIX "," SEVEN "," EIGHT "," NINE "," TEN "," ELEVEN "," TWELVE "," THIRTEEN "," FOURTEEN "," FIFTEEN "," SIXTEEN"," SEVENTEEN"," EIGHTEEN "," NINETEEN "})&amp;" Only)"</f>
        <v>( Rs.  FIVE  Lac.  TWENTY  EIGHT  Thousand  SEVEN  Hundred  THIRTY  EIGHT  Only)</v>
      </c>
    </row>
    <row r="35" spans="1:14">
      <c r="A35" s="40" t="s">
        <v>53</v>
      </c>
      <c r="B35" s="41"/>
      <c r="C35" s="19"/>
      <c r="D35" s="14"/>
      <c r="E35" s="13"/>
      <c r="F35" s="17"/>
      <c r="G35" s="14"/>
      <c r="H35" s="14"/>
      <c r="I35" s="14"/>
      <c r="J35" s="14"/>
      <c r="K35" s="153">
        <f ca="1">TODAY()</f>
        <v>41097</v>
      </c>
      <c r="L35" s="153"/>
      <c r="M35" s="153"/>
      <c r="N35" s="153"/>
    </row>
    <row r="36" spans="1:14">
      <c r="A36" s="14"/>
      <c r="B36" s="16"/>
      <c r="C36" s="19"/>
      <c r="D36" s="14"/>
      <c r="E36" s="13"/>
      <c r="F36" s="17"/>
      <c r="G36" s="14"/>
      <c r="H36" s="14"/>
      <c r="I36" s="14"/>
      <c r="J36" s="14"/>
      <c r="K36" s="18"/>
      <c r="L36" s="14"/>
      <c r="M36" s="18"/>
      <c r="N36" s="18"/>
    </row>
    <row r="37" spans="1:14">
      <c r="A37" s="14"/>
      <c r="B37" s="16"/>
      <c r="C37" s="16"/>
      <c r="D37" s="14"/>
      <c r="E37" s="13"/>
      <c r="F37" s="17"/>
      <c r="G37" s="14"/>
      <c r="H37" s="14"/>
      <c r="I37" s="14"/>
      <c r="J37" s="17"/>
      <c r="K37" s="14"/>
      <c r="L37" s="14"/>
      <c r="M37" s="18"/>
      <c r="N37" s="18"/>
    </row>
    <row r="38" spans="1:14">
      <c r="A38" s="14"/>
      <c r="B38" s="15"/>
      <c r="C38" s="16"/>
      <c r="D38" s="14"/>
      <c r="E38" s="13"/>
      <c r="F38" s="17"/>
      <c r="G38" s="14"/>
      <c r="H38" s="14"/>
      <c r="I38" s="14"/>
      <c r="J38" s="14"/>
      <c r="K38" s="18"/>
      <c r="L38" s="14"/>
      <c r="M38" s="18"/>
      <c r="N38" s="18"/>
    </row>
    <row r="39" spans="1:14">
      <c r="A39" s="14"/>
      <c r="B39" s="16"/>
      <c r="C39" s="19"/>
      <c r="D39" s="14"/>
      <c r="E39" s="13"/>
      <c r="F39" s="17"/>
      <c r="G39" s="14"/>
      <c r="H39" s="14"/>
      <c r="I39" s="14"/>
      <c r="J39" s="14"/>
      <c r="K39" s="18"/>
      <c r="L39" s="14"/>
      <c r="M39" s="18"/>
      <c r="N39" s="18"/>
    </row>
    <row r="40" spans="1:14">
      <c r="A40" s="14"/>
      <c r="B40" s="16"/>
      <c r="C40" s="19"/>
      <c r="D40" s="14"/>
      <c r="E40" s="13"/>
      <c r="F40" s="17"/>
      <c r="G40" s="14"/>
      <c r="H40" s="14"/>
      <c r="I40" s="14"/>
      <c r="J40" s="14"/>
      <c r="K40" s="18"/>
      <c r="L40" s="14"/>
      <c r="M40" s="18"/>
      <c r="N40" s="18"/>
    </row>
  </sheetData>
  <sheetProtection password="C5EF" sheet="1" objects="1" scenarios="1" insertColumns="0" insertRows="0"/>
  <mergeCells count="5">
    <mergeCell ref="A1:N1"/>
    <mergeCell ref="F3:H6"/>
    <mergeCell ref="J3:L6"/>
    <mergeCell ref="A7:C7"/>
    <mergeCell ref="K35:N35"/>
  </mergeCells>
  <conditionalFormatting sqref="A8:N32">
    <cfRule type="cellIs" dxfId="0" priority="1" operator="equal">
      <formula>0</formula>
    </cfRule>
  </conditionalFormatting>
  <pageMargins left="0.7" right="0.7" top="0.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dimension ref="A1:AC33"/>
  <sheetViews>
    <sheetView workbookViewId="0">
      <selection activeCell="F18" sqref="F18"/>
    </sheetView>
  </sheetViews>
  <sheetFormatPr defaultRowHeight="15"/>
  <cols>
    <col min="1" max="1" width="15.140625" customWidth="1"/>
    <col min="2" max="2" width="6.85546875" customWidth="1"/>
    <col min="3" max="3" width="9.7109375" customWidth="1"/>
    <col min="4" max="4" width="0" hidden="1" customWidth="1"/>
    <col min="5" max="5" width="15" customWidth="1"/>
    <col min="6" max="6" width="7.7109375" customWidth="1"/>
    <col min="7" max="7" width="4.5703125" customWidth="1"/>
    <col min="8" max="8" width="8.28515625" customWidth="1"/>
    <col min="9" max="9" width="7.28515625" customWidth="1"/>
    <col min="10" max="10" width="5.42578125" customWidth="1"/>
    <col min="11" max="11" width="3.5703125" customWidth="1"/>
    <col min="12" max="12" width="12.85546875" customWidth="1"/>
    <col min="13" max="13" width="3.85546875" customWidth="1"/>
    <col min="14" max="14" width="14.42578125" customWidth="1"/>
    <col min="15" max="15" width="6.85546875" customWidth="1"/>
    <col min="16" max="16" width="7.85546875" customWidth="1"/>
    <col min="17" max="17" width="1.42578125" customWidth="1"/>
  </cols>
  <sheetData>
    <row r="1" spans="1:29" ht="14.1" customHeight="1">
      <c r="A1" s="178" t="s">
        <v>54</v>
      </c>
      <c r="B1" s="179"/>
      <c r="C1" s="179"/>
      <c r="D1" s="179"/>
      <c r="E1" s="179"/>
      <c r="F1" s="179"/>
      <c r="G1" s="179"/>
      <c r="H1" s="179"/>
      <c r="I1" s="179"/>
      <c r="J1" s="179"/>
      <c r="K1" s="179"/>
      <c r="L1" s="179"/>
      <c r="M1" s="179"/>
      <c r="N1" s="179"/>
      <c r="O1" s="179"/>
      <c r="P1" s="180"/>
      <c r="U1" s="78"/>
      <c r="V1" s="78"/>
      <c r="W1" s="78"/>
      <c r="X1" s="78"/>
      <c r="Y1" s="78"/>
      <c r="Z1" s="78"/>
      <c r="AA1" s="78"/>
      <c r="AB1" s="78"/>
      <c r="AC1" s="78"/>
    </row>
    <row r="2" spans="1:29" ht="14.1" customHeight="1">
      <c r="A2" s="43"/>
      <c r="B2" s="44" t="s">
        <v>85</v>
      </c>
      <c r="C2" s="44"/>
      <c r="D2" s="44"/>
      <c r="E2" s="44"/>
      <c r="F2" s="44"/>
      <c r="G2" s="44"/>
      <c r="H2" s="44"/>
      <c r="I2" s="44"/>
      <c r="J2" s="44"/>
      <c r="K2" s="44"/>
      <c r="M2" s="45" t="str">
        <f>"Month / Year : "&amp;Data!B2</f>
        <v>Month / Year : Apr-12</v>
      </c>
      <c r="N2" s="44"/>
      <c r="O2" s="44"/>
      <c r="P2" s="46"/>
      <c r="U2" s="78"/>
      <c r="V2" s="78"/>
      <c r="W2" s="78"/>
      <c r="X2" s="78"/>
      <c r="Y2" s="78"/>
      <c r="Z2" s="78"/>
      <c r="AA2" s="78"/>
      <c r="AB2" s="78"/>
      <c r="AC2" s="78"/>
    </row>
    <row r="3" spans="1:29" ht="14.1" customHeight="1">
      <c r="A3" s="47" t="str">
        <f>"Detailed Pay Bill Of Permanent/Temporary Establishment of :-    "&amp;Data!B1&amp;"("&amp;Data!B8&amp;")"</f>
        <v>Detailed Pay Bill Of Permanent/Temporary Establishment of :-    PATEL SSS BEAWAR(16094)</v>
      </c>
      <c r="B3" s="48"/>
      <c r="C3" s="48"/>
      <c r="D3" s="48"/>
      <c r="E3" s="48"/>
      <c r="F3" s="49"/>
      <c r="G3" s="49"/>
      <c r="H3" s="49"/>
      <c r="I3" s="49"/>
      <c r="J3" s="49"/>
      <c r="K3" s="49"/>
      <c r="L3" s="49"/>
      <c r="M3" s="50" t="str">
        <f>"Office ID         :  "&amp;Data!B8</f>
        <v>Office ID         :  16094</v>
      </c>
      <c r="N3" s="49"/>
      <c r="O3" s="49"/>
      <c r="P3" s="51"/>
      <c r="U3" s="78"/>
      <c r="V3" s="78"/>
      <c r="W3" s="78">
        <f>IF(OR(AA3=0,AA3=""),"",SUM(X3:X$3))</f>
        <v>1</v>
      </c>
      <c r="X3" s="78">
        <f>IF(AA3&gt;0,1,"")</f>
        <v>1</v>
      </c>
      <c r="Y3" s="78" t="s">
        <v>86</v>
      </c>
      <c r="Z3" s="78">
        <v>100</v>
      </c>
      <c r="AA3" s="78">
        <f>Inner!W7</f>
        <v>320447</v>
      </c>
      <c r="AB3" s="78"/>
      <c r="AC3" s="78"/>
    </row>
    <row r="4" spans="1:29" ht="14.1" customHeight="1">
      <c r="A4" s="52" t="str">
        <f>"Bill No. :  "&amp;Data!B9</f>
        <v>Bill No. :  3</v>
      </c>
      <c r="B4" s="27"/>
      <c r="C4" s="50" t="str">
        <f>"Date : "&amp;Data!B10</f>
        <v>Date : 9/04/2012</v>
      </c>
      <c r="D4" s="49"/>
      <c r="E4" s="27"/>
      <c r="F4" s="50" t="str">
        <f>"DDO Code : "&amp;Data!B7</f>
        <v>DDO Code : 16094</v>
      </c>
      <c r="G4" s="49"/>
      <c r="H4" s="27"/>
      <c r="I4" s="50" t="str">
        <f>"TAN NO :   "&amp;Data!B6</f>
        <v>TAN NO :   JDHG03942B</v>
      </c>
      <c r="J4" s="49"/>
      <c r="K4" s="49"/>
      <c r="L4" s="49"/>
      <c r="M4" s="50" t="s">
        <v>88</v>
      </c>
      <c r="N4" s="49"/>
      <c r="O4" s="49"/>
      <c r="P4" s="51"/>
      <c r="U4" s="78"/>
      <c r="V4" s="78"/>
      <c r="W4" s="78" t="str">
        <f>IF(OR(AA4=0,AA4=""),"",SUM(X$3:X4))</f>
        <v/>
      </c>
      <c r="X4" s="78" t="str">
        <f>IF(AA4&lt;&gt;0,1,"")</f>
        <v/>
      </c>
      <c r="Y4" s="78" t="s">
        <v>46</v>
      </c>
      <c r="Z4" s="78">
        <v>98</v>
      </c>
      <c r="AA4" s="78"/>
      <c r="AB4" s="78"/>
      <c r="AC4" s="78"/>
    </row>
    <row r="5" spans="1:29" ht="14.1" customHeight="1">
      <c r="A5" s="53" t="str">
        <f>"Budget Head: "&amp;Data!B3&amp;"/ "&amp;Data!B4&amp;"/  "&amp;Data!B5</f>
        <v>Budget Head: 2071-01-115-00/ Non Plan/  Voted</v>
      </c>
      <c r="B5" s="54"/>
      <c r="C5" s="54"/>
      <c r="D5" s="54"/>
      <c r="E5" s="49"/>
      <c r="F5" s="55" t="str">
        <f>"Demand No : "&amp;Data!B11</f>
        <v>Demand No : 15</v>
      </c>
      <c r="G5" s="49"/>
      <c r="H5" s="49"/>
      <c r="I5" s="49"/>
      <c r="J5" s="49"/>
      <c r="K5" s="49"/>
      <c r="L5" s="49"/>
      <c r="M5" s="49"/>
      <c r="N5" s="49"/>
      <c r="O5" s="49"/>
      <c r="P5" s="51"/>
      <c r="U5" s="78"/>
      <c r="V5" s="78"/>
      <c r="W5" s="78">
        <f>IF(OR(AA5=0,AA5=""),"",SUM(X$3:X5))</f>
        <v>2</v>
      </c>
      <c r="X5" s="78">
        <f>IF(AA5&lt;&gt;0,1,"")</f>
        <v>1</v>
      </c>
      <c r="Y5" s="78" t="s">
        <v>49</v>
      </c>
      <c r="Z5" s="78">
        <v>104</v>
      </c>
      <c r="AA5" s="78">
        <f>Inner!W9</f>
        <v>208291</v>
      </c>
      <c r="AB5" s="78"/>
      <c r="AC5" s="78"/>
    </row>
    <row r="6" spans="1:29" ht="15.75" customHeight="1">
      <c r="A6" s="181" t="str">
        <f>"To,
      The "&amp;Data!B12&amp;"
      Please Order to pay the Claim Contained in this bill"</f>
        <v>To,
      The SUB TREASURY ,MASUDA
      Please Order to pay the Claim Contained in this bill</v>
      </c>
      <c r="B6" s="182"/>
      <c r="C6" s="182"/>
      <c r="D6" s="182"/>
      <c r="E6" s="182"/>
      <c r="F6" s="56"/>
      <c r="G6" s="56"/>
      <c r="H6" s="56"/>
      <c r="I6" s="56"/>
      <c r="J6" s="56"/>
      <c r="K6" s="56"/>
      <c r="L6" s="56"/>
      <c r="M6" s="56"/>
      <c r="N6" s="56"/>
      <c r="O6" s="56"/>
      <c r="P6" s="57"/>
      <c r="U6" s="78"/>
      <c r="V6" s="78"/>
      <c r="W6" s="78"/>
      <c r="X6" s="78"/>
      <c r="Y6" s="78"/>
      <c r="Z6" s="78"/>
      <c r="AA6" s="78"/>
      <c r="AB6" s="78"/>
      <c r="AC6" s="78"/>
    </row>
    <row r="7" spans="1:29" ht="32.25" customHeight="1">
      <c r="A7" s="165"/>
      <c r="B7" s="166"/>
      <c r="C7" s="166"/>
      <c r="D7" s="166"/>
      <c r="E7" s="166"/>
      <c r="F7" s="58"/>
      <c r="G7" s="58"/>
      <c r="H7" s="183" t="s">
        <v>55</v>
      </c>
      <c r="I7" s="183"/>
      <c r="J7" s="58"/>
      <c r="K7" s="183" t="s">
        <v>56</v>
      </c>
      <c r="L7" s="183"/>
      <c r="M7" s="58"/>
      <c r="N7" s="184" t="s">
        <v>57</v>
      </c>
      <c r="O7" s="183"/>
      <c r="P7" s="59"/>
      <c r="U7" s="78"/>
      <c r="V7" s="78"/>
      <c r="W7" s="78"/>
      <c r="X7" s="78"/>
      <c r="Y7" s="78"/>
      <c r="Z7" s="78"/>
      <c r="AA7" s="78"/>
      <c r="AB7" s="78"/>
      <c r="AC7" s="78"/>
    </row>
    <row r="8" spans="1:29" ht="2.25" customHeight="1">
      <c r="A8" s="43"/>
      <c r="B8" s="44"/>
      <c r="C8" s="44"/>
      <c r="D8" s="44"/>
      <c r="E8" s="44"/>
      <c r="F8" s="44"/>
      <c r="G8" s="44"/>
      <c r="H8" s="44"/>
      <c r="I8" s="44"/>
      <c r="J8" s="44"/>
      <c r="K8" s="44"/>
      <c r="L8" s="44"/>
      <c r="M8" s="44"/>
      <c r="N8" s="44"/>
      <c r="O8" s="44"/>
      <c r="P8" s="46"/>
      <c r="U8" s="78"/>
      <c r="V8" s="78"/>
      <c r="W8" s="78"/>
      <c r="X8" s="78"/>
      <c r="Y8" s="78"/>
      <c r="Z8" s="78"/>
      <c r="AA8" s="78"/>
      <c r="AB8" s="78"/>
      <c r="AC8" s="78"/>
    </row>
    <row r="9" spans="1:29" ht="66" customHeight="1">
      <c r="A9" s="185" t="s">
        <v>58</v>
      </c>
      <c r="B9" s="182"/>
      <c r="C9" s="182"/>
      <c r="D9" s="182"/>
      <c r="E9" s="182"/>
      <c r="F9" s="182"/>
      <c r="G9" s="182"/>
      <c r="H9" s="182"/>
      <c r="I9" s="182"/>
      <c r="J9" s="182"/>
      <c r="K9" s="182"/>
      <c r="L9" s="182"/>
      <c r="M9" s="182"/>
      <c r="N9" s="182"/>
      <c r="O9" s="182"/>
      <c r="P9" s="186"/>
      <c r="U9" s="78"/>
      <c r="V9" s="78"/>
      <c r="W9" s="78"/>
      <c r="X9" s="78"/>
      <c r="Y9" s="78"/>
      <c r="Z9" s="78"/>
      <c r="AA9" s="78"/>
      <c r="AB9" s="78"/>
      <c r="AC9" s="78"/>
    </row>
    <row r="10" spans="1:29" ht="2.25" customHeight="1">
      <c r="A10" s="60"/>
      <c r="B10" s="58"/>
      <c r="C10" s="58"/>
      <c r="D10" s="58"/>
      <c r="E10" s="58"/>
      <c r="F10" s="58"/>
      <c r="G10" s="58"/>
      <c r="H10" s="58"/>
      <c r="I10" s="58"/>
      <c r="J10" s="58"/>
      <c r="K10" s="58"/>
      <c r="L10" s="58"/>
      <c r="M10" s="58"/>
      <c r="N10" s="58"/>
      <c r="O10" s="58"/>
      <c r="P10" s="59"/>
      <c r="U10" s="78"/>
      <c r="V10" s="78"/>
      <c r="W10" s="78"/>
      <c r="X10" s="78"/>
      <c r="Y10" s="78"/>
      <c r="Z10" s="78"/>
      <c r="AA10" s="78"/>
      <c r="AB10" s="78"/>
      <c r="AC10" s="78"/>
    </row>
    <row r="11" spans="1:29" ht="14.1" customHeight="1">
      <c r="A11" s="187" t="s">
        <v>59</v>
      </c>
      <c r="B11" s="188"/>
      <c r="C11" s="189"/>
      <c r="D11" s="44"/>
      <c r="E11" s="187" t="s">
        <v>60</v>
      </c>
      <c r="F11" s="188"/>
      <c r="G11" s="188"/>
      <c r="H11" s="57"/>
      <c r="I11" s="190" t="s">
        <v>61</v>
      </c>
      <c r="J11" s="191"/>
      <c r="K11" s="191"/>
      <c r="L11" s="191"/>
      <c r="M11" s="191"/>
      <c r="N11" s="191"/>
      <c r="O11" s="191"/>
      <c r="P11" s="192"/>
      <c r="U11" s="78"/>
      <c r="V11" s="78"/>
      <c r="W11" s="78"/>
      <c r="X11" s="78"/>
      <c r="Y11" s="78"/>
      <c r="Z11" s="78"/>
      <c r="AA11" s="78"/>
      <c r="AB11" s="78"/>
      <c r="AC11" s="78"/>
    </row>
    <row r="12" spans="1:29" ht="14.1" customHeight="1">
      <c r="A12" s="61" t="s">
        <v>62</v>
      </c>
      <c r="B12" s="62" t="s">
        <v>63</v>
      </c>
      <c r="C12" s="63" t="s">
        <v>43</v>
      </c>
      <c r="D12" s="44"/>
      <c r="E12" s="61" t="s">
        <v>60</v>
      </c>
      <c r="F12" s="62" t="s">
        <v>63</v>
      </c>
      <c r="G12" s="168" t="s">
        <v>43</v>
      </c>
      <c r="H12" s="169"/>
      <c r="I12" s="158" t="s">
        <v>64</v>
      </c>
      <c r="J12" s="159"/>
      <c r="K12" s="44"/>
      <c r="L12" s="44" t="s">
        <v>13</v>
      </c>
      <c r="M12" s="44"/>
      <c r="N12" s="44"/>
      <c r="O12" s="44"/>
      <c r="P12" s="46"/>
      <c r="U12" s="78"/>
      <c r="V12" s="78"/>
      <c r="W12" s="78"/>
      <c r="X12" s="78"/>
      <c r="Y12" s="78"/>
      <c r="Z12" s="78"/>
      <c r="AA12" s="78"/>
      <c r="AB12" s="78"/>
      <c r="AC12" s="78"/>
    </row>
    <row r="13" spans="1:29" ht="14.1" customHeight="1">
      <c r="A13" s="43" t="str">
        <f>IF(ISNA(VLOOKUP(1,W3:AA5,3,FALSE)),"",(VLOOKUP(1,W3:AA5,3,FALSE)))</f>
        <v>BASICPAY</v>
      </c>
      <c r="B13" s="62">
        <f>IF(ISNA(VLOOKUP(1,W3:AA5,4,FALSE)),"",(VLOOKUP(1,W3:AA5,4,FALSE)))</f>
        <v>100</v>
      </c>
      <c r="C13" s="64">
        <f>IF(ISNA(VLOOKUP(1,W3:AA5,5,FALSE)),"",(VLOOKUP(1,W3:AA5,5,FALSE)))</f>
        <v>320447</v>
      </c>
      <c r="D13" s="44"/>
      <c r="E13" s="65"/>
      <c r="F13" s="62"/>
      <c r="G13" s="170"/>
      <c r="H13" s="171"/>
      <c r="I13" s="172"/>
      <c r="J13" s="168"/>
      <c r="K13" s="44"/>
      <c r="L13" s="44"/>
      <c r="M13" s="44"/>
      <c r="N13" s="44"/>
      <c r="O13" s="44"/>
      <c r="P13" s="46"/>
      <c r="U13" s="78"/>
      <c r="V13" s="78"/>
      <c r="W13" s="78"/>
      <c r="X13" s="78"/>
      <c r="Y13" s="78"/>
      <c r="Z13" s="78"/>
      <c r="AA13" s="78"/>
      <c r="AB13" s="78"/>
      <c r="AC13" s="78"/>
    </row>
    <row r="14" spans="1:29" ht="14.1" customHeight="1">
      <c r="A14" s="43" t="str">
        <f>IF(ISNA(VLOOKUP(2,W3:AA5,3,FALSE)),"",(VLOOKUP(2,W3:AA5,3,FALSE)))</f>
        <v>DA</v>
      </c>
      <c r="B14" s="62">
        <f>IF(ISNA(VLOOKUP(2,W3:AA5,4,FALSE)),"",(VLOOKUP(2,W3:AA5,4,FALSE)))</f>
        <v>104</v>
      </c>
      <c r="C14" s="64">
        <f>IF(ISNA(VLOOKUP(2,W3:AA5,5,FALSE)),"",(VLOOKUP(2,W3:AA5,5,FALSE)))</f>
        <v>208291</v>
      </c>
      <c r="D14" s="44"/>
      <c r="E14" s="65"/>
      <c r="F14" s="62"/>
      <c r="G14" s="170"/>
      <c r="H14" s="171"/>
      <c r="I14" s="173" t="s">
        <v>65</v>
      </c>
      <c r="J14" s="174"/>
      <c r="K14" s="174"/>
      <c r="L14" s="174"/>
      <c r="M14" s="174"/>
      <c r="N14" s="174"/>
      <c r="O14" s="174"/>
      <c r="P14" s="175"/>
      <c r="U14" s="78"/>
      <c r="V14" s="78"/>
      <c r="W14" s="78"/>
      <c r="X14" s="78"/>
      <c r="Y14" s="78"/>
      <c r="Z14" s="78"/>
      <c r="AA14" s="78"/>
      <c r="AB14" s="78"/>
      <c r="AC14" s="78"/>
    </row>
    <row r="15" spans="1:29" ht="14.1" customHeight="1">
      <c r="A15" s="43" t="str">
        <f>IF(ISNA(VLOOKUP(3,W3:AA5,3,FALSE)),"",(VLOOKUP(3,W3:AA5,3,FALSE)))</f>
        <v/>
      </c>
      <c r="B15" s="62" t="str">
        <f>IF(ISNA(VLOOKUP(3,W3:AA5,4,FALSE)),"",(VLOOKUP(3,W3:AA5,4,FALSE)))</f>
        <v/>
      </c>
      <c r="C15" s="64" t="str">
        <f>IF(ISNA(VLOOKUP(3,W3:AA5,5,FALSE)),"",(VLOOKUP(3,W3:AA5,5,FALSE)))</f>
        <v/>
      </c>
      <c r="D15" s="44"/>
      <c r="E15" s="65"/>
      <c r="F15" s="62"/>
      <c r="G15" s="170"/>
      <c r="H15" s="171"/>
      <c r="I15" s="172"/>
      <c r="J15" s="168"/>
      <c r="K15" s="44"/>
      <c r="L15" s="44"/>
      <c r="M15" s="44"/>
      <c r="N15" s="44"/>
      <c r="O15" s="44"/>
      <c r="P15" s="46"/>
      <c r="U15" s="78"/>
      <c r="V15" s="78"/>
      <c r="W15" s="78"/>
      <c r="X15" s="78"/>
      <c r="Y15" s="78"/>
      <c r="Z15" s="78"/>
      <c r="AA15" s="78"/>
      <c r="AB15" s="78"/>
      <c r="AC15" s="78"/>
    </row>
    <row r="16" spans="1:29" ht="14.1" customHeight="1">
      <c r="A16" s="43" t="str">
        <f>IF(ISNA(VLOOKUP(4,[1]PRINT!BB$4:BD$11,3,FALSE)),"",(VLOOKUP(4,[1]PRINT!BB$4:BD$11,3,FALSE)))</f>
        <v/>
      </c>
      <c r="B16" s="62" t="str">
        <f>IF(ISNA(VLOOKUP(4,[1]PRINT!BB$4:BF$11,4,FALSE)),"",(VLOOKUP(4,[1]PRINT!BB$4:BF$11,4,FALSE)))</f>
        <v/>
      </c>
      <c r="C16" s="64" t="str">
        <f>IF(ISNA(VLOOKUP(4,[1]PRINT!BB$4:BG$11,5,FALSE)),"",(VLOOKUP(4,[1]PRINT!BB$4:BG$11,5,FALSE)))</f>
        <v/>
      </c>
      <c r="D16" s="44"/>
      <c r="E16" s="65"/>
      <c r="F16" s="62"/>
      <c r="G16" s="170"/>
      <c r="H16" s="171"/>
      <c r="I16" s="158" t="s">
        <v>66</v>
      </c>
      <c r="J16" s="159"/>
      <c r="K16" s="62" t="s">
        <v>67</v>
      </c>
      <c r="L16" s="66">
        <f>C27</f>
        <v>528738</v>
      </c>
      <c r="M16" s="44"/>
      <c r="N16" s="44"/>
      <c r="O16" s="44"/>
      <c r="P16" s="46"/>
      <c r="U16" s="78"/>
      <c r="V16" s="78"/>
      <c r="W16" s="78"/>
      <c r="X16" s="78"/>
      <c r="Y16" s="78"/>
      <c r="Z16" s="78"/>
      <c r="AA16" s="78"/>
      <c r="AB16" s="78"/>
      <c r="AC16" s="78"/>
    </row>
    <row r="17" spans="1:16" ht="14.1" customHeight="1">
      <c r="A17" s="43" t="str">
        <f>IF(ISNA(VLOOKUP(5,[1]PRINT!BB$4:BD$11,3,FALSE)),"",(VLOOKUP(5,[1]PRINT!BB$4:BD$11,3,FALSE)))</f>
        <v/>
      </c>
      <c r="B17" s="62" t="str">
        <f>IF(ISNA(VLOOKUP(5,[1]PRINT!BB$4:BF$11,4,FALSE)),"",(VLOOKUP(5,[1]PRINT!BB$4:BF$11,4,FALSE)))</f>
        <v/>
      </c>
      <c r="C17" s="62" t="str">
        <f>IF(ISNA(VLOOKUP(5,[1]PRINT!BB$4:BG$11,5,FALSE)),"",(VLOOKUP(5,[1]PRINT!BB$4:BG$11,5,FALSE)))</f>
        <v/>
      </c>
      <c r="D17" s="44"/>
      <c r="E17" s="65"/>
      <c r="F17" s="62"/>
      <c r="G17" s="170"/>
      <c r="H17" s="171"/>
      <c r="I17" s="158" t="s">
        <v>68</v>
      </c>
      <c r="J17" s="159"/>
      <c r="K17" s="163" t="str">
        <f>"( Rs. "&amp;LOOKUP(IF(INT(RIGHT(L16,7)/100000)&gt;19,INT(RIGHT(L16,7)/1000000),IF(INT(RIGHT(L16,7)/100000)&gt;=10,INT(RIGHT(L16,7)/100000),0)),{0,1,2,3,4,5,6,7,8,9,10,11,12,13,14,15,16,17,18,19},{""," TEN "," TWENTY "," THIRTY "," FOURTY "," FIFTY "," SIXTY "," SEVENTY "," EIGHTY "," NINETY "," TEN "," ELEVEN "," TWELVE "," THIRTEEN "," FOURTEEN "," FIFTEEN "," SIXTEEN"," SEVENTEEN"," EIGHTEEN "," NINETEEN "})&amp;IF((IF(INT(RIGHT(L16,7)/100000)&gt;19,INT(RIGHT(L16,7)/1000000),IF(INT(RIGHT(L16,7)/100000)&gt;=10,INT(RIGHT(L16,7)/100000),0))+IF(INT(RIGHT(L16,7)/100000)&gt;19,INT(RIGHT(L16,6)/100000),IF(INT(RIGHT(L16,7)/100000)&gt;10,0,INT(RIGHT(L16,6)/100000))))&gt;0,LOOKUP(IF(INT(RIGHT(L16,7)/100000)&gt;19,INT(RIGHT(L16,6)/100000),IF(INT(RIGHT(L16,7)/100000)&gt;10,0,INT(RIGHT(L16,6)/100000))),{0,1,2,3,4,5,6,7,8,9,10,11,12,13,14,15,16,17,18,19},{""," ONE "," TWO "," THREE "," FOUR "," FIVE "," SIX "," SEVEN "," EIGHT "," NINE "," TEN "," ELEVEN "," TWELVE "," THIRTEEN "," FOURTEEN "," FIFTEEN "," SIXTEEN"," SEVENTEEN"," EIGHTEEN "," NINETEEN "})&amp;" Lac. "," ")&amp;LOOKUP(IF(INT(RIGHT(L16,5)/1000)&gt;19,INT(RIGHT(L16,5)/10000),IF(INT(RIGHT(L16,5)/1000)&gt;=10,INT(RIGHT(L16,5)/1000),0)),{0,1,2,3,4,5,6,7,8,9,10,11,12,13,14,15,16,17,18,19},{""," TEN "," TWENTY "," THIRTY "," FOURTY "," FIFTY "," SIXTY "," SEVENTY "," EIGHTY "," NINETY "," TEN "," ELEVEN "," TWELVE "," THIRTEEN "," FOURTEEN "," FIFTEEN "," SIXTEEN"," SEVENTEEN"," EIGHTEEN "," NINETEEN "})&amp;IF((IF(INT(RIGHT(L16,5)/1000)&gt;19,INT(RIGHT(L16,4)/1000),IF(INT(RIGHT(L16,5)/1000)&gt;10,0,INT(RIGHT(L16,4)/1000)))+IF(INT(RIGHT(L16,5)/1000)&gt;19,INT(RIGHT(L16,5)/10000),IF(INT(RIGHT(L16,5)/1000)&gt;=10,INT(RIGHT(L16,5)/1000),0)))&gt;0,LOOKUP(IF(INT(RIGHT(L16,5)/1000)&gt;19,INT(RIGHT(L16,4)/1000),IF(INT(RIGHT(L16,5)/1000)&gt;10,0,INT(RIGHT(L16,4)/1000))),{0,1,2,3,4,5,6,7,8,9,10,11,12,13,14,15,16,17,18,19},{""," ONE "," TWO "," THREE "," FOUR "," FIVE "," SIX "," SEVEN "," EIGHT "," NINE "," TEN "," ELEVEN "," TWELVE "," THIRTEEN "," FOURTEEN "," FIFTEEN "," SIXTEEN"," SEVENTEEN"," EIGHTEEN "," NINETEEN "})&amp;" Thousand "," ")&amp;IF((INT((RIGHT(L16,3))/100))&gt;0,LOOKUP(INT((RIGHT(L16,3))/100),{0,1,2,3,4,5,6,7,8,9,10,11,12,13,14,15,16,17,18,19},{""," ONE "," TWO "," THREE "," FOUR "," FIVE "," SIX "," SEVEN "," EIGHT "," NINE "," TEN "," ELEVEN "," TWELVE "," THIRTEEN "," FOURTEEN "," FIFTEEN "," SIXTEEN"," SEVENTEEN"," EIGHTEEN "," NINETEEN "})&amp;" Hundred "," ")&amp;LOOKUP(IF(INT(RIGHT(L16,2))&gt;19,INT(RIGHT(L16,2)/10),IF(INT(RIGHT(L16,2))&gt;=10,INT(RIGHT(L16,2)),0)),{0,1,2,3,4,5,6,7,8,9,10,11,12,13,14,15,16,17,18,19},{""," TEN "," TWENTY "," THIRTY "," FOURTY "," FIFTY "," SIXTY "," SEVENTY "," EIGHTY "," NINETY "," TEN "," ELEVEN "," TWELVE "," THIRTEEN "," FOURTEEN "," FIFTEEN "," SIXTEEN"," SEVENTEEN"," EIGHTEEN "," NINETEEN "})&amp;LOOKUP(IF(INT(RIGHT(L16,2))&lt;10,INT(RIGHT(L16,1)),IF(INT(RIGHT(L16,2))&lt;20,0,INT(RIGHT(L16,1)))),{0,1,2,3,4,5,6,7,8,9,10,11,12,13,14,15,16,17,18,19},{""," ONE "," TWO "," THREE "," FOUR "," FIVE "," SIX "," SEVEN "," EIGHT "," NINE "," TEN "," ELEVEN "," TWELVE "," THIRTEEN "," FOURTEEN "," FIFTEEN "," SIXTEEN"," SEVENTEEN"," EIGHTEEN "," NINETEEN "})&amp;" Only)"</f>
        <v>( Rs.  FIVE  Lac.  TWENTY  EIGHT  Thousand  SEVEN  Hundred  THIRTY  EIGHT  Only)</v>
      </c>
      <c r="L17" s="163"/>
      <c r="M17" s="163"/>
      <c r="N17" s="163"/>
      <c r="O17" s="163"/>
      <c r="P17" s="164"/>
    </row>
    <row r="18" spans="1:16" ht="14.1" customHeight="1">
      <c r="A18" s="43" t="str">
        <f>IF(ISNA(VLOOKUP(6,[1]PRINT!BB$4:BD$11,3,FALSE)),"",(VLOOKUP(6,[1]PRINT!BB$4:BD$11,3,FALSE)))</f>
        <v/>
      </c>
      <c r="B18" s="62" t="str">
        <f>IF(ISNA(VLOOKUP(6,[1]PRINT!BB$4:BF$11,4,FALSE)),"",(VLOOKUP(6,[1]PRINT!BB$4:BF$11,4,FALSE)))</f>
        <v/>
      </c>
      <c r="C18" s="62" t="str">
        <f>IF(ISNA(VLOOKUP(6,[1]PRINT!BB$4:BG$11,5,FALSE)),"",(VLOOKUP(6,[1]PRINT!BB$4:BG$11,5,FALSE)))</f>
        <v/>
      </c>
      <c r="D18" s="44"/>
      <c r="E18" s="65"/>
      <c r="F18" s="62"/>
      <c r="G18" s="170"/>
      <c r="H18" s="171"/>
      <c r="I18" s="172" t="s">
        <v>69</v>
      </c>
      <c r="J18" s="168"/>
      <c r="K18" s="163"/>
      <c r="L18" s="163"/>
      <c r="M18" s="163"/>
      <c r="N18" s="163"/>
      <c r="O18" s="163"/>
      <c r="P18" s="164"/>
    </row>
    <row r="19" spans="1:16" ht="14.1" customHeight="1">
      <c r="A19" s="43" t="str">
        <f>IF(ISNA(VLOOKUP(7,[1]PRINT!BB$4:BD$11,3,FALSE)),"",(VLOOKUP(7,[1]PRINT!BB$4:BD$11,3,FALSE)))</f>
        <v/>
      </c>
      <c r="B19" s="62" t="str">
        <f>IF(ISNA(VLOOKUP(7,[1]PRINT!BB$4:BF$11,4,FALSE)),"",(VLOOKUP(7,[1]PRINT!BB$4:BF$11,4,FALSE)))</f>
        <v/>
      </c>
      <c r="C19" s="62" t="str">
        <f>IF(ISNA(VLOOKUP(7,[1]PRINT!BB$4:BG$11,5,FALSE)),"",(VLOOKUP(7,[1]PRINT!BB$4:BG$11,5,FALSE)))</f>
        <v/>
      </c>
      <c r="D19" s="44"/>
      <c r="E19" s="65"/>
      <c r="F19" s="62"/>
      <c r="G19" s="170"/>
      <c r="H19" s="171"/>
      <c r="I19" s="27"/>
      <c r="J19" s="27"/>
      <c r="K19" s="27"/>
      <c r="L19" s="27"/>
      <c r="M19" s="176" t="str">
        <f>K17</f>
        <v>( Rs.  FIVE  Lac.  TWENTY  EIGHT  Thousand  SEVEN  Hundred  THIRTY  EIGHT  Only)</v>
      </c>
      <c r="N19" s="176"/>
      <c r="O19" s="176"/>
      <c r="P19" s="177"/>
    </row>
    <row r="20" spans="1:16" ht="14.1" customHeight="1">
      <c r="A20" s="43" t="str">
        <f>IF(ISNA(VLOOKUP(8,[1]PRINT!BB$4:BD$11,3,FALSE)),"",(VLOOKUP(8,[1]PRINT!BB$4:BD$11,3,FALSE)))</f>
        <v/>
      </c>
      <c r="B20" s="62" t="str">
        <f>IF(ISNA(VLOOKUP(8,[1]PRINT!BB$4:BF$11,4,FALSE)),"",(VLOOKUP(8,[1]PRINT!BB$4:BF$11,4,FALSE)))</f>
        <v/>
      </c>
      <c r="C20" s="62" t="str">
        <f>IF(ISNA(VLOOKUP(8,[1]PRINT!BB$4:BG$11,5,FALSE)),"",(VLOOKUP(8,[1]PRINT!BB$4:BG$11,5,FALSE)))</f>
        <v/>
      </c>
      <c r="D20" s="44"/>
      <c r="E20" s="65"/>
      <c r="F20" s="62"/>
      <c r="G20" s="170"/>
      <c r="H20" s="171"/>
      <c r="I20" s="158" t="s">
        <v>70</v>
      </c>
      <c r="J20" s="159"/>
      <c r="K20" s="62" t="s">
        <v>67</v>
      </c>
      <c r="L20" s="66">
        <f>G28</f>
        <v>528738</v>
      </c>
      <c r="M20" s="176"/>
      <c r="N20" s="176"/>
      <c r="O20" s="176"/>
      <c r="P20" s="177"/>
    </row>
    <row r="21" spans="1:16" ht="14.1" customHeight="1">
      <c r="A21" s="43" t="str">
        <f>IF(ISNA(VLOOKUP(9,[1]PRINT!BB$4:BD$11,3,FALSE)),"",(VLOOKUP(9,[1]PRINT!BB$4:BD$11,3,FALSE)))</f>
        <v/>
      </c>
      <c r="B21" s="62" t="str">
        <f>IF(ISNA(VLOOKUP(9,[1]PRINT!BB$4:BF$11,4,FALSE)),"",(VLOOKUP(9,[1]PRINT!BB$4:BF$11,4,FALSE)))</f>
        <v/>
      </c>
      <c r="C21" s="62" t="str">
        <f>IF(ISNA(VLOOKUP(9,[1]PRINT!BB$4:BG$11,5,FALSE)),"",(VLOOKUP(9,[1]PRINT!BB$4:BG$11,5,FALSE)))</f>
        <v/>
      </c>
      <c r="D21" s="44"/>
      <c r="E21" s="65"/>
      <c r="F21" s="62"/>
      <c r="G21" s="170"/>
      <c r="H21" s="171"/>
      <c r="I21" s="67" t="s">
        <v>71</v>
      </c>
      <c r="J21" s="68"/>
      <c r="K21" s="62" t="s">
        <v>67</v>
      </c>
      <c r="L21" s="66">
        <f>G27</f>
        <v>0</v>
      </c>
      <c r="M21" s="44"/>
      <c r="N21" s="44"/>
      <c r="O21" s="44"/>
      <c r="P21" s="46"/>
    </row>
    <row r="22" spans="1:16" ht="14.1" customHeight="1">
      <c r="A22" s="43" t="str">
        <f>IF(ISNA(VLOOKUP(10,[1]PRINT!BB$4:BD$11,3,FALSE)),"",(VLOOKUP(10,[1]PRINT!BB$4:BD$11,3,FALSE)))</f>
        <v/>
      </c>
      <c r="B22" s="62" t="str">
        <f>IF(ISNA(VLOOKUP(10,[1]PRINT!BB$4:BF$11,4,FALSE)),"",(VLOOKUP(10,[1]PRINT!BB$4:BF$11,4,FALSE)))</f>
        <v/>
      </c>
      <c r="C22" s="62" t="str">
        <f>IF(ISNA(VLOOKUP(10,[1]PRINT!BB$4:BG$11,5,FALSE)),"",(VLOOKUP(10,[1]PRINT!BB$4:BG$11,5,FALSE)))</f>
        <v/>
      </c>
      <c r="D22" s="44"/>
      <c r="E22" s="65"/>
      <c r="F22" s="62"/>
      <c r="G22" s="170"/>
      <c r="H22" s="171"/>
      <c r="I22" s="67" t="s">
        <v>72</v>
      </c>
      <c r="J22" s="68"/>
      <c r="K22" s="62" t="s">
        <v>67</v>
      </c>
      <c r="L22" s="66">
        <f>SUM(L20:L21)</f>
        <v>528738</v>
      </c>
      <c r="M22" s="44"/>
      <c r="N22" s="44"/>
      <c r="O22" s="44"/>
      <c r="P22" s="46"/>
    </row>
    <row r="23" spans="1:16" ht="14.1" customHeight="1">
      <c r="A23" s="43"/>
      <c r="B23" s="62"/>
      <c r="C23" s="69"/>
      <c r="D23" s="44"/>
      <c r="E23" s="65"/>
      <c r="F23" s="62"/>
      <c r="G23" s="170"/>
      <c r="H23" s="171"/>
      <c r="I23" s="172"/>
      <c r="J23" s="168"/>
      <c r="K23" s="44"/>
      <c r="L23" s="44"/>
      <c r="M23" s="44"/>
      <c r="N23" s="44"/>
      <c r="O23" s="44"/>
      <c r="P23" s="46"/>
    </row>
    <row r="24" spans="1:16" ht="14.1" customHeight="1">
      <c r="A24" s="43"/>
      <c r="B24" s="44"/>
      <c r="C24" s="69"/>
      <c r="D24" s="44"/>
      <c r="E24" s="65"/>
      <c r="F24" s="62"/>
      <c r="G24" s="170"/>
      <c r="H24" s="171"/>
      <c r="I24" s="172" t="s">
        <v>73</v>
      </c>
      <c r="J24" s="168"/>
      <c r="K24" s="44"/>
      <c r="L24" s="44"/>
      <c r="M24" s="44" t="s">
        <v>74</v>
      </c>
      <c r="N24" s="44"/>
      <c r="O24" s="168" t="s">
        <v>75</v>
      </c>
      <c r="P24" s="169"/>
    </row>
    <row r="25" spans="1:16" ht="14.1" customHeight="1">
      <c r="A25" s="43"/>
      <c r="B25" s="44"/>
      <c r="C25" s="69"/>
      <c r="D25" s="44"/>
      <c r="E25" s="65"/>
      <c r="F25" s="62"/>
      <c r="G25" s="170"/>
      <c r="H25" s="171"/>
      <c r="I25" s="172"/>
      <c r="J25" s="168"/>
      <c r="K25" s="44"/>
      <c r="L25" s="44"/>
      <c r="M25" s="44"/>
      <c r="N25" s="44"/>
      <c r="O25" s="44"/>
      <c r="P25" s="46"/>
    </row>
    <row r="26" spans="1:16" ht="14.1" customHeight="1">
      <c r="A26" s="43"/>
      <c r="B26" s="44"/>
      <c r="C26" s="69"/>
      <c r="D26" s="44"/>
      <c r="E26" s="65"/>
      <c r="F26" s="70"/>
      <c r="G26" s="170"/>
      <c r="H26" s="171"/>
      <c r="I26" s="173" t="s">
        <v>76</v>
      </c>
      <c r="J26" s="174"/>
      <c r="K26" s="174"/>
      <c r="L26" s="174"/>
      <c r="M26" s="174"/>
      <c r="N26" s="174"/>
      <c r="O26" s="174"/>
      <c r="P26" s="175"/>
    </row>
    <row r="27" spans="1:16" ht="14.1" customHeight="1">
      <c r="A27" s="52" t="s">
        <v>77</v>
      </c>
      <c r="B27" s="71" t="s">
        <v>67</v>
      </c>
      <c r="C27" s="51">
        <f>SUM(C13:C26)</f>
        <v>528738</v>
      </c>
      <c r="D27" s="44"/>
      <c r="E27" s="72" t="s">
        <v>78</v>
      </c>
      <c r="F27" s="73" t="s">
        <v>67</v>
      </c>
      <c r="G27" s="156">
        <f>SUM(G13:H26)</f>
        <v>0</v>
      </c>
      <c r="H27" s="157"/>
      <c r="I27" s="172"/>
      <c r="J27" s="168"/>
      <c r="K27" s="44"/>
      <c r="L27" s="44"/>
      <c r="M27" s="44"/>
      <c r="N27" s="44"/>
      <c r="O27" s="44"/>
      <c r="P27" s="46"/>
    </row>
    <row r="28" spans="1:16" ht="14.1" customHeight="1">
      <c r="A28" s="43"/>
      <c r="B28" s="44"/>
      <c r="C28" s="46"/>
      <c r="D28" s="44"/>
      <c r="E28" s="72" t="s">
        <v>79</v>
      </c>
      <c r="F28" s="73" t="s">
        <v>67</v>
      </c>
      <c r="G28" s="156">
        <f>C27-G27</f>
        <v>528738</v>
      </c>
      <c r="H28" s="157"/>
      <c r="I28" s="158" t="s">
        <v>80</v>
      </c>
      <c r="J28" s="159"/>
      <c r="K28" s="44"/>
      <c r="L28" s="44"/>
      <c r="M28" s="44"/>
      <c r="N28" s="44" t="s">
        <v>81</v>
      </c>
      <c r="O28" s="44"/>
      <c r="P28" s="46"/>
    </row>
    <row r="29" spans="1:16" ht="14.1" customHeight="1">
      <c r="A29" s="43"/>
      <c r="B29" s="44"/>
      <c r="C29" s="46"/>
      <c r="D29" s="44"/>
      <c r="E29" s="72" t="s">
        <v>68</v>
      </c>
      <c r="F29" s="79"/>
      <c r="G29" s="79"/>
      <c r="H29" s="80"/>
      <c r="I29" s="158"/>
      <c r="J29" s="159"/>
      <c r="K29" s="44"/>
      <c r="L29" s="44"/>
      <c r="M29" s="44"/>
      <c r="N29" s="44"/>
      <c r="O29" s="44"/>
      <c r="P29" s="46"/>
    </row>
    <row r="30" spans="1:16">
      <c r="A30" s="43"/>
      <c r="B30" s="44"/>
      <c r="C30" s="46"/>
      <c r="D30" s="44"/>
      <c r="E30" s="162" t="str">
        <f>M19</f>
        <v>( Rs.  FIVE  Lac.  TWENTY  EIGHT  Thousand  SEVEN  Hundred  THIRTY  EIGHT  Only)</v>
      </c>
      <c r="F30" s="163"/>
      <c r="G30" s="163"/>
      <c r="H30" s="164"/>
      <c r="I30" s="158"/>
      <c r="J30" s="159"/>
      <c r="K30" s="44"/>
      <c r="L30" s="44"/>
      <c r="M30" s="44"/>
      <c r="N30" s="44"/>
      <c r="O30" s="44"/>
      <c r="P30" s="46"/>
    </row>
    <row r="31" spans="1:16">
      <c r="A31" s="60"/>
      <c r="B31" s="58"/>
      <c r="C31" s="59"/>
      <c r="D31" s="58"/>
      <c r="E31" s="165"/>
      <c r="F31" s="166"/>
      <c r="G31" s="166"/>
      <c r="H31" s="167"/>
      <c r="I31" s="160" t="s">
        <v>82</v>
      </c>
      <c r="J31" s="161"/>
      <c r="K31" s="74"/>
      <c r="L31" s="74"/>
      <c r="M31" s="74" t="s">
        <v>83</v>
      </c>
      <c r="N31" s="74"/>
      <c r="O31" s="154" t="s">
        <v>84</v>
      </c>
      <c r="P31" s="155"/>
    </row>
    <row r="32" spans="1:16" ht="7.5" customHeight="1">
      <c r="A32" s="27"/>
      <c r="B32" s="27"/>
      <c r="C32" s="27"/>
      <c r="D32" s="27"/>
      <c r="E32" s="27"/>
      <c r="F32" s="27"/>
      <c r="G32" s="27"/>
      <c r="H32" s="27"/>
      <c r="I32" s="27"/>
      <c r="J32" s="27"/>
      <c r="K32" s="27"/>
      <c r="L32" s="27"/>
      <c r="M32" s="27"/>
      <c r="N32" s="27"/>
      <c r="O32" s="27"/>
      <c r="P32" s="27"/>
    </row>
    <row r="33" spans="1:16">
      <c r="A33" s="75"/>
      <c r="B33" s="75"/>
      <c r="C33" s="75"/>
      <c r="D33" s="75"/>
      <c r="E33" s="75"/>
      <c r="F33" s="75"/>
      <c r="G33" s="75"/>
      <c r="H33" s="75"/>
      <c r="I33" s="56"/>
      <c r="J33" s="56"/>
      <c r="K33" s="56"/>
      <c r="L33" s="56"/>
      <c r="M33" s="76"/>
      <c r="N33" s="76"/>
      <c r="O33" s="76"/>
      <c r="P33" s="76"/>
    </row>
  </sheetData>
  <sheetProtection password="C5EF" sheet="1" objects="1" scenarios="1"/>
  <mergeCells count="48">
    <mergeCell ref="G13:H13"/>
    <mergeCell ref="I13:J13"/>
    <mergeCell ref="A1:P1"/>
    <mergeCell ref="A6:E7"/>
    <mergeCell ref="H7:I7"/>
    <mergeCell ref="K7:L7"/>
    <mergeCell ref="N7:O7"/>
    <mergeCell ref="A9:P9"/>
    <mergeCell ref="A11:C11"/>
    <mergeCell ref="E11:G11"/>
    <mergeCell ref="I11:P11"/>
    <mergeCell ref="G12:H12"/>
    <mergeCell ref="I12:J12"/>
    <mergeCell ref="M19:P20"/>
    <mergeCell ref="G20:H20"/>
    <mergeCell ref="I20:J20"/>
    <mergeCell ref="G14:H14"/>
    <mergeCell ref="I14:P14"/>
    <mergeCell ref="G15:H15"/>
    <mergeCell ref="I15:J15"/>
    <mergeCell ref="G16:H16"/>
    <mergeCell ref="I16:J16"/>
    <mergeCell ref="K17:P18"/>
    <mergeCell ref="G17:H17"/>
    <mergeCell ref="I17:J17"/>
    <mergeCell ref="G18:H18"/>
    <mergeCell ref="I18:J18"/>
    <mergeCell ref="G19:H19"/>
    <mergeCell ref="G27:H27"/>
    <mergeCell ref="I27:J27"/>
    <mergeCell ref="G21:H21"/>
    <mergeCell ref="G22:H22"/>
    <mergeCell ref="G23:H23"/>
    <mergeCell ref="I23:J23"/>
    <mergeCell ref="G24:H24"/>
    <mergeCell ref="I24:J24"/>
    <mergeCell ref="O24:P24"/>
    <mergeCell ref="G25:H25"/>
    <mergeCell ref="I25:J25"/>
    <mergeCell ref="G26:H26"/>
    <mergeCell ref="I26:P26"/>
    <mergeCell ref="O31:P31"/>
    <mergeCell ref="G28:H28"/>
    <mergeCell ref="I28:J28"/>
    <mergeCell ref="I29:J29"/>
    <mergeCell ref="I30:J30"/>
    <mergeCell ref="I31:J31"/>
    <mergeCell ref="E30:H31"/>
  </mergeCells>
  <pageMargins left="0.7" right="0.7" top="0.75" bottom="0.75" header="0.3" footer="0.3"/>
  <pageSetup paperSize="9" orientation="landscape" verticalDpi="0" r:id="rId1"/>
  <headerFooter>
    <oddFooter>&amp;LDhabhai/Bwr&amp;R&amp;D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Data</vt:lpstr>
      <vt:lpstr>Inner</vt:lpstr>
      <vt:lpstr>Outer</vt:lpstr>
      <vt:lpstr>Inner!Print_Area</vt:lpstr>
      <vt:lpstr>Outer!Print_Area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2012-07-07T04:24:04Z</dcterms:modified>
</cp:coreProperties>
</file>